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11"/>
  </bookViews>
  <sheets>
    <sheet name="1.1" sheetId="1" r:id="rId1"/>
    <sheet name="1.2" sheetId="2" r:id="rId2"/>
    <sheet name="1.3" sheetId="3" r:id="rId3"/>
    <sheet name="2.2" sheetId="4" r:id="rId4"/>
    <sheet name="2.3" sheetId="5" r:id="rId5"/>
    <sheet name="3.1" sheetId="6" r:id="rId6"/>
    <sheet name="3.2" sheetId="7" r:id="rId7"/>
    <sheet name="4.2" sheetId="8" r:id="rId8"/>
    <sheet name="4.1" sheetId="9" r:id="rId9"/>
    <sheet name="4.3" sheetId="10" r:id="rId10"/>
    <sheet name="сметная стоимость работ" sheetId="11" r:id="rId11"/>
    <sheet name="расчет фин. показателей" sheetId="12" r:id="rId12"/>
  </sheets>
  <definedNames>
    <definedName name="Excel_BuiltIn_Print_Area_10_1">'4.3'!$A$1:$F$66</definedName>
    <definedName name="Excel_BuiltIn_Print_Area_11_1">'сметная стоимость работ'!$A$10:$T$34</definedName>
    <definedName name="Excel_BuiltIn_Print_Area_12_1">'расчет фин. показателей'!$A$1:$M$47</definedName>
    <definedName name="Excel_BuiltIn_Print_Area_12_1_1">'расчет фин. показателей'!$A$9:$G$63</definedName>
    <definedName name="Excel_BuiltIn_Print_Area_2_1">'1.2'!$A$1:$AI$100</definedName>
    <definedName name="Excel_BuiltIn_Print_Area_2_1_1">'1.2'!$A$1:$AI$100</definedName>
    <definedName name="Excel_BuiltIn_Print_Area_4_1">'2.2'!$A$1:$Z$19</definedName>
    <definedName name="Excel_BuiltIn_Print_Area_5_1">'2.3'!$A$1:$G$83</definedName>
    <definedName name="Excel_BuiltIn_Print_Area_5_1_1">'2.3'!$A$1:$G$19</definedName>
    <definedName name="Excel_BuiltIn_Print_Area_5_1_1_1" localSheetId="5">'3.1'!$A$1:$F$97</definedName>
    <definedName name="Excel_BuiltIn_Print_Area_5_1_1_1">#REF!</definedName>
    <definedName name="Excel_BuiltIn_Print_Area_5_1_1_1_1" localSheetId="5">'3.1'!$A$1:$F$21</definedName>
    <definedName name="Excel_BuiltIn_Print_Area_5_1_1_1_1">#REF!</definedName>
    <definedName name="Excel_BuiltIn_Print_Area_6_1" localSheetId="5">'3.1'!$A$1:$F$97</definedName>
    <definedName name="Excel_BuiltIn_Print_Area_6_1">#REF!</definedName>
    <definedName name="_xlnm.Print_Area" localSheetId="5">'3.1'!$A$1:$F$137</definedName>
    <definedName name="_xlnm.Print_Area" localSheetId="8">'4.1'!$A$1:$H$90</definedName>
    <definedName name="_xlnm.Print_Area" localSheetId="11">'расчет фин. показателей'!$A$1:$M$45</definedName>
    <definedName name="_xlnm.Print_Area" localSheetId="10">'сметная стоимость работ'!$A$1:$T$34</definedName>
  </definedNames>
  <calcPr fullCalcOnLoad="1"/>
</workbook>
</file>

<file path=xl/sharedStrings.xml><?xml version="1.0" encoding="utf-8"?>
<sst xmlns="http://schemas.openxmlformats.org/spreadsheetml/2006/main" count="1083" uniqueCount="477">
  <si>
    <t>Утверждаю:</t>
  </si>
  <si>
    <t>Директор МУП «Жилкомсервис»</t>
  </si>
  <si>
    <t>________________О.Н. Наумчик</t>
  </si>
  <si>
    <t>Перечень инвестиционных проектов на период реализации инвестиционной программы и план их финансирования</t>
  </si>
  <si>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</si>
  <si>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</si>
  <si>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</si>
  <si>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</si>
  <si>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Год начала строитель-
ства</t>
  </si>
  <si>
    <t>Год окончания строитель-
ства</t>
  </si>
  <si>
    <t>Полная стоимость строитель-
ства **</t>
  </si>
  <si>
    <t>Остаточная стоимость строитель-
ства **</t>
  </si>
  <si>
    <t>План финансирования текущего года</t>
  </si>
  <si>
    <t>Ввод мощностей</t>
  </si>
  <si>
    <t>Объем финансирования****</t>
  </si>
  <si>
    <t>итого</t>
  </si>
  <si>
    <t>С/П *</t>
  </si>
  <si>
    <t>МВт/Гкал/ч/км/МВА</t>
  </si>
  <si>
    <t>млн. рублей</t>
  </si>
  <si>
    <t>ВСЕГО</t>
  </si>
  <si>
    <t>1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</si>
  <si>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</si>
  <si>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</si>
  <si>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</si>
  <si>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1.2</t>
  </si>
  <si>
    <t>Создание систем противоаварийной и режимной автоматики</t>
  </si>
  <si>
    <t>ПИР</t>
  </si>
  <si>
    <t>СМР</t>
  </si>
  <si>
    <t>1.3</t>
  </si>
  <si>
    <t>Создание систем телемеханики и связи</t>
  </si>
  <si>
    <t>-</t>
  </si>
  <si>
    <t>1.4</t>
  </si>
  <si>
    <t>Установка устройств регулирования напряжения и компенсации реактивной мощности</t>
  </si>
  <si>
    <t>1.5</t>
  </si>
  <si>
    <t>Повышение пропускной способности существующих элементов сети для исполнения заявок потребителей на присоединение</t>
  </si>
  <si>
    <t>2.1.</t>
  </si>
  <si>
    <t>2.1.1</t>
  </si>
  <si>
    <t>2.2</t>
  </si>
  <si>
    <t>Прочее новое строительство</t>
  </si>
  <si>
    <t>Справочно:</t>
  </si>
  <si>
    <t>Оплата процентов за привлеченные кредитные ресурсы</t>
  </si>
  <si>
    <t>Наименование объекта *</t>
  </si>
  <si>
    <t>Технические характеристики реконструируемых объектов</t>
  </si>
  <si>
    <t>Плановый объем финансирования,
млн. руб. **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</si>
  <si>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</si>
  <si>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</si>
  <si>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</si>
  <si>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</si>
  <si>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</si>
  <si>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год ввода в экс-
плуата-
цию</t>
  </si>
  <si>
    <t>норма-
тивный срок службы, лет</t>
  </si>
  <si>
    <t>мощ-
ность, МВт</t>
  </si>
  <si>
    <t>тепловая энергия, Гкал/час</t>
  </si>
  <si>
    <t>количество
и марка силовых трансформа-
торов, шт.</t>
  </si>
  <si>
    <t>мощ-
ность, МВА</t>
  </si>
  <si>
    <t>тип опор</t>
  </si>
  <si>
    <t>марка кабеля</t>
  </si>
  <si>
    <t>протя-
женность, км</t>
  </si>
  <si>
    <t>всего</t>
  </si>
  <si>
    <t>оборудо-
вание и
материа-
лы</t>
  </si>
  <si>
    <t>прочие</t>
  </si>
  <si>
    <t>ПС</t>
  </si>
  <si>
    <t>2</t>
  </si>
  <si>
    <t>Новое строительство</t>
  </si>
  <si>
    <t>2.1</t>
  </si>
  <si>
    <t>Всего</t>
  </si>
  <si>
    <t>1.3.</t>
  </si>
  <si>
    <t>Прогноз ввода/вывода объектов</t>
  </si>
  <si>
    <t>Наименование инвестиционного проекта</t>
  </si>
  <si>
    <t>№ п/п</t>
  </si>
  <si>
    <t>Наименование проекта</t>
  </si>
  <si>
    <t>Вывод мощностей</t>
  </si>
  <si>
    <t>МВт, Гкал/час, км, МВА</t>
  </si>
  <si>
    <t>Краткое описание инвестиционной программы</t>
  </si>
  <si>
    <t>№
п/п</t>
  </si>
  <si>
    <t>Наименование направления/
проекта инвестиционной программы</t>
  </si>
  <si>
    <t>Субъект Российской Федерации,
на территории которого реализуется инвестицион-
ный проект</t>
  </si>
  <si>
    <t>Место расположения объекта</t>
  </si>
  <si>
    <t>Технические характеристики</t>
  </si>
  <si>
    <t>Исполь-
зуемое топливо</t>
  </si>
  <si>
    <t>Сроки реализации проекта</t>
  </si>
  <si>
    <t>Наличие исходно-разрешительной документации</t>
  </si>
  <si>
    <t>Стоимость объекта,
млн. рублей</t>
  </si>
  <si>
    <t>Остаточная стоимость объекта на 01.01. года №,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</si>
  <si>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</si>
  <si>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</si>
  <si>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мощность,
МВт, МВА</t>
  </si>
  <si>
    <t>выработка,
млн. кВт/ч</t>
  </si>
  <si>
    <t>длина ВЛ,км</t>
  </si>
  <si>
    <t>год
начала строи-
тельства</t>
  </si>
  <si>
    <t>год
ввода
в эксплуа-
тацию</t>
  </si>
  <si>
    <t>утверж-
денная проектно-сметная докумен-
тация
(+; -)</t>
  </si>
  <si>
    <t>заклю-
чение Главгос-
экспер-
тизы России
(+; -)</t>
  </si>
  <si>
    <t>оформ-
ленный
в соот-
ветствии
с законо-
дательст-
вом земле-
отвод
(+; -)</t>
  </si>
  <si>
    <t>разре-
шение
на строи-
тельство
(+; -)</t>
  </si>
  <si>
    <t>в соот-
ветствии
с проектно-
сметной
докумен-
тацией ***</t>
  </si>
  <si>
    <t>в соот-
ветствии
с итогами конкурсов
и заклю-
ченными договорами</t>
  </si>
  <si>
    <t>решаемые задачи *</t>
  </si>
  <si>
    <t>режимно-
балансовая необходимость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</si>
  <si>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</si>
  <si>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доходность</t>
  </si>
  <si>
    <t>срок
окупаемости</t>
  </si>
  <si>
    <t>NPV,
млн. рублей</t>
  </si>
  <si>
    <t>простой</t>
  </si>
  <si>
    <t>дискон-
тиро-
ванный</t>
  </si>
  <si>
    <t>Красноярский край</t>
  </si>
  <si>
    <t>г. Сосновоборск</t>
  </si>
  <si>
    <t>+</t>
  </si>
  <si>
    <t>Финансовая модель по проекту инвестиционной программы</t>
  </si>
  <si>
    <t>Исходные данные</t>
  </si>
  <si>
    <t>Значение</t>
  </si>
  <si>
    <t>Общая стоимость объекта, руб. без НДС</t>
  </si>
  <si>
    <t>Собственный капитал</t>
  </si>
  <si>
    <t>Прочие расходы, руб. без НДС на объект</t>
  </si>
  <si>
    <t>Простой период окупаемости, лет</t>
  </si>
  <si>
    <t>Срок амортизации, лет</t>
  </si>
  <si>
    <t>Дисконтированный период окупаемости, лет</t>
  </si>
  <si>
    <t>Кол-во объектов, ед.</t>
  </si>
  <si>
    <t>NPV через 10 лет, руб.</t>
  </si>
  <si>
    <t>Затраты на ремонт объекта, руб. без НДС</t>
  </si>
  <si>
    <t>Целесообразность реализации проекта</t>
  </si>
  <si>
    <t>да</t>
  </si>
  <si>
    <t>Первый ремонт объекта, лет после постройки</t>
  </si>
  <si>
    <t>Периодичность ремонта объекта, лет</t>
  </si>
  <si>
    <t>Прочие расходы при эксплуатации объекта, руб. без НДС</t>
  </si>
  <si>
    <t>Возникновение прочих расходов, лет после постройки</t>
  </si>
  <si>
    <t>Периодичность расходов, лет</t>
  </si>
  <si>
    <t>Налог на прибыль</t>
  </si>
  <si>
    <t>Прочие расходы, руб. без НДС в месяц</t>
  </si>
  <si>
    <t>Рабочий капитал в % от выручки</t>
  </si>
  <si>
    <t>Срок кредита</t>
  </si>
  <si>
    <t>Ставка по кредиту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</si>
  <si>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</si>
  <si>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</si>
  <si>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</si>
  <si>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</si>
  <si>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WACC</t>
  </si>
  <si>
    <t>Период</t>
  </si>
  <si>
    <t>Прогноз инфляции</t>
  </si>
  <si>
    <t>Кумулятивная инфляция</t>
  </si>
  <si>
    <t>Доход, руб. без НДС</t>
  </si>
  <si>
    <t>Кредит,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</si>
  <si>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</si>
  <si>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</si>
  <si>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</si>
  <si>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</si>
  <si>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БДР, руб.</t>
  </si>
  <si>
    <t>Доход</t>
  </si>
  <si>
    <t>Операционные расходы</t>
  </si>
  <si>
    <t>Ремонт объекта</t>
  </si>
  <si>
    <t>Налог на имущество (После ввода объекта в эксплуатацию)</t>
  </si>
  <si>
    <t>EBITDA</t>
  </si>
  <si>
    <t>Амортизация</t>
  </si>
  <si>
    <t>EBIT</t>
  </si>
  <si>
    <t>Проценты</t>
  </si>
  <si>
    <t>Прибыль до налогообложения</t>
  </si>
  <si>
    <t>Чистая прибыль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</si>
  <si>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</si>
  <si>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</si>
  <si>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</si>
  <si>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</si>
  <si>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</si>
  <si>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</si>
  <si>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ЧДП</t>
  </si>
  <si>
    <t>Коэффициент дисконтирования</t>
  </si>
  <si>
    <t>PV</t>
  </si>
  <si>
    <t>NPV (без учета продажи)</t>
  </si>
  <si>
    <t>IRR</t>
  </si>
  <si>
    <t>PP</t>
  </si>
  <si>
    <t>DPP</t>
  </si>
  <si>
    <t>Укрупненный сетевой график выполнения инвестиционного проекта</t>
  </si>
  <si>
    <t>по состоянию на</t>
  </si>
  <si>
    <t>№</t>
  </si>
  <si>
    <t>Наименование контрольных этапов реализации инвестпроекта с указанием событий/работ критического пути сетевого графика *</t>
  </si>
  <si>
    <t>Выполнение (план)</t>
  </si>
  <si>
    <t>Процент исполнения работ за весь период
(%)</t>
  </si>
  <si>
    <t>Основные причины невыполнения</t>
  </si>
  <si>
    <t>начало
(дата)</t>
  </si>
  <si>
    <t>окончание
(дата)</t>
  </si>
  <si>
    <t>Предпроектный и проектный этап</t>
  </si>
  <si>
    <t>Заключение договора на разработку проектной документации</t>
  </si>
  <si>
    <t>Утверждение проектной документации</t>
  </si>
  <si>
    <t>Разработка рабочей документации</t>
  </si>
  <si>
    <t>Организационный этап</t>
  </si>
  <si>
    <t>Заключение договора подряда</t>
  </si>
  <si>
    <t>Сетевое строительство (реконструкция) и пусконаладочные работы</t>
  </si>
  <si>
    <t>Поставка основного оборудования</t>
  </si>
  <si>
    <t>Монтаж основного оборудования</t>
  </si>
  <si>
    <t>Пусконаладочные работы</t>
  </si>
  <si>
    <t>Завершение строительства</t>
  </si>
  <si>
    <t>Испытания и ввод в эксплуатацию</t>
  </si>
  <si>
    <t>Комплексное опробование оборудования</t>
  </si>
  <si>
    <t>Ввод в эксплуатацию объекта сетевого строительства</t>
  </si>
  <si>
    <t>Получение заявки на ТП</t>
  </si>
  <si>
    <t>Разработка и выдача ТУ на ТП</t>
  </si>
  <si>
    <t>Получение правоустанавливающих документов для выделения земельного участка под строительство</t>
  </si>
  <si>
    <t>Контрольные этапы реализации инвестиционного проекта</t>
  </si>
  <si>
    <t>Наименование</t>
  </si>
  <si>
    <t>Тип</t>
  </si>
  <si>
    <t>1.1.</t>
  </si>
  <si>
    <t>событие</t>
  </si>
  <si>
    <t>1.2.</t>
  </si>
  <si>
    <t>1.4.</t>
  </si>
  <si>
    <t>Получение положительного заключения государственной экспертизы на проектную документацию</t>
  </si>
  <si>
    <t>1.5.</t>
  </si>
  <si>
    <t>1.6.</t>
  </si>
  <si>
    <t>работа</t>
  </si>
  <si>
    <t>2.</t>
  </si>
  <si>
    <t>Заключение договора подряда (допсоглашения к договору)</t>
  </si>
  <si>
    <t>2.2.</t>
  </si>
  <si>
    <t>2.3.</t>
  </si>
  <si>
    <t>Получение разрешительной документации для реализации СВМ</t>
  </si>
  <si>
    <t>3.</t>
  </si>
  <si>
    <t>3.1.</t>
  </si>
  <si>
    <t>Подготовка площадки строительства для подстанций, трассы - для ЛЭП</t>
  </si>
  <si>
    <t>3.2.</t>
  </si>
  <si>
    <t>3.3.</t>
  </si>
  <si>
    <t>3.4.</t>
  </si>
  <si>
    <t>3.5.</t>
  </si>
  <si>
    <t>4.</t>
  </si>
  <si>
    <t>4.1.</t>
  </si>
  <si>
    <t>4.2.</t>
  </si>
  <si>
    <t>Оформление (подписание) актов об осуществлении  технологического присоединения к электрическим сетям</t>
  </si>
  <si>
    <t>4.3.</t>
  </si>
  <si>
    <t>Получение разрешения на ввод объекта в эксплуатацию</t>
  </si>
  <si>
    <t>4.4.</t>
  </si>
  <si>
    <t>_____________________О.Н. Наумчик</t>
  </si>
  <si>
    <t>Финансовый план на период реализации инвестиционной программы
(заполняется по финансированию)</t>
  </si>
  <si>
    <t>Показатели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</si>
  <si>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</si>
  <si>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</si>
  <si>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</si>
  <si>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(расшифровать по видам регулируемой деятельности)</t>
  </si>
  <si>
    <t>Выручка от прочей деятельности (расшифровать)</t>
  </si>
  <si>
    <t>II</t>
  </si>
  <si>
    <t>Расходы по текущей деятельности, всего</t>
  </si>
  <si>
    <t>Материальные расходы, всего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</si>
  <si>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</si>
  <si>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</si>
  <si>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</si>
  <si>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3</t>
  </si>
  <si>
    <t>Амортизационные отчисления</t>
  </si>
  <si>
    <t>4</t>
  </si>
  <si>
    <t>Налоги и сборы, всего</t>
  </si>
  <si>
    <t>5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</si>
  <si>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</si>
  <si>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</si>
  <si>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</si>
  <si>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</si>
  <si>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</si>
  <si>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</si>
  <si>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</si>
  <si>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</si>
  <si>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</si>
  <si>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</si>
  <si>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</si>
  <si>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</si>
  <si>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</si>
  <si>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</si>
  <si>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</si>
  <si>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</si>
  <si>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</si>
  <si>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</si>
  <si>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</si>
  <si>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VII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</si>
  <si>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</si>
  <si>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</si>
  <si>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</si>
  <si>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</si>
  <si>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</si>
  <si>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</si>
  <si>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</si>
  <si>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</si>
  <si>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</si>
  <si>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</si>
  <si>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</si>
  <si>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</si>
  <si>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</si>
  <si>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</si>
  <si>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</si>
  <si>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</si>
  <si>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</si>
  <si>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</si>
  <si>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</si>
  <si>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</si>
  <si>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</si>
  <si>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</si>
  <si>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</si>
  <si>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</si>
  <si>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</si>
  <si>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</si>
  <si>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</si>
  <si>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</si>
  <si>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</si>
  <si>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</si>
  <si>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</si>
  <si>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</si>
  <si>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</si>
  <si>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</si>
  <si>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</si>
  <si>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</si>
  <si>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</si>
  <si>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</si>
  <si>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</si>
  <si>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Долг на конец периода</t>
  </si>
  <si>
    <t>Прогноз тарифов</t>
  </si>
  <si>
    <t>Источники финансирования инвестиционных программ
(в прогнозных ценах соответствующих лет), млн. рублей</t>
  </si>
  <si>
    <t>Источник финансирования</t>
  </si>
  <si>
    <t>Итого</t>
  </si>
  <si>
    <t>Собственные средства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</si>
  <si>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</si>
  <si>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</si>
  <si>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</si>
  <si>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</si>
  <si>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</si>
  <si>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</si>
  <si>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</si>
  <si>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</si>
  <si>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</si>
  <si>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</si>
  <si>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</si>
  <si>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</si>
  <si>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</si>
  <si>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</si>
  <si>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</si>
  <si>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</si>
  <si>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</si>
  <si>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</si>
  <si>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</si>
  <si>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</si>
  <si>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</si>
  <si>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</si>
  <si>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</si>
  <si>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</si>
  <si>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</si>
  <si>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</si>
  <si>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</si>
  <si>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</si>
  <si>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</si>
  <si>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</si>
  <si>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</si>
  <si>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</si>
  <si>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</si>
  <si>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</si>
  <si>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</si>
  <si>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</si>
  <si>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</si>
  <si>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</si>
  <si>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</si>
  <si>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</si>
  <si>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</si>
  <si>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Выручка</t>
  </si>
  <si>
    <t>Услуги по передаче электроэнергии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</si>
  <si>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</si>
  <si>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</si>
  <si>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</si>
  <si>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</si>
  <si>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</si>
  <si>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</si>
  <si>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</si>
  <si>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</si>
  <si>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</si>
  <si>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</si>
  <si>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</si>
  <si>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</si>
  <si>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</si>
  <si>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</si>
  <si>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</si>
  <si>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</si>
  <si>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</si>
  <si>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</si>
  <si>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</si>
  <si>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</si>
  <si>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</si>
  <si>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</si>
  <si>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</si>
  <si>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</si>
  <si>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</si>
  <si>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</si>
  <si>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</si>
  <si>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</si>
  <si>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</si>
  <si>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</si>
  <si>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</si>
  <si>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</si>
  <si>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</si>
  <si>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Расчет стоимости мероприятий инвестпрограммы</t>
  </si>
  <si>
    <t>Наименование по титулу инвестпрограммы</t>
  </si>
  <si>
    <t>ед измерения</t>
  </si>
  <si>
    <t>монтажных работ</t>
  </si>
  <si>
    <t>прочих</t>
  </si>
  <si>
    <t>Объем</t>
  </si>
  <si>
    <t>Затраты, млн. руб. (с НДС)</t>
  </si>
  <si>
    <t>Стоимость в текущих ценах с НДС</t>
  </si>
  <si>
    <t>проект</t>
  </si>
  <si>
    <t>ячейка</t>
  </si>
  <si>
    <t>Индексы-дефляторы</t>
  </si>
  <si>
    <t>Инвестиции в основной капитал (капитальные вложения)</t>
  </si>
  <si>
    <t>Ставка d = 10%</t>
  </si>
  <si>
    <t>Поток инвестиций (-)</t>
  </si>
  <si>
    <t>Возврат НДС (+)</t>
  </si>
  <si>
    <t>Снижение потерь, млн. кВт*ч</t>
  </si>
  <si>
    <t>Снижение затрат на потери, млн. руб.</t>
  </si>
  <si>
    <t>Тариф на потери, руб/кВт*ч без НДС</t>
  </si>
  <si>
    <t>NCF потери</t>
  </si>
  <si>
    <t>NCF инв.</t>
  </si>
  <si>
    <t>DCF потери</t>
  </si>
  <si>
    <t>DCF инв.</t>
  </si>
  <si>
    <t>PV, руб.</t>
  </si>
  <si>
    <t>NPV, руб.</t>
  </si>
  <si>
    <t>Министр промышленности, энергетики  и торговли Красноярского края</t>
  </si>
  <si>
    <t>_______________А.Г. Цыкалов</t>
  </si>
  <si>
    <t>2016/2017 *</t>
  </si>
  <si>
    <t>2018/2017 **</t>
  </si>
  <si>
    <t>2019/2018 **</t>
  </si>
  <si>
    <t>2020/2019 **</t>
  </si>
  <si>
    <t>2021/2020**</t>
  </si>
  <si>
    <t>Прогноз социально-экономического развития Российской Федерации на 2016 год и на плановый период 2017 и 2018 годов (Минэкономразвития России, 26 октября 2015 года)</t>
  </si>
  <si>
    <t>** «Прогноз социально-экономического развития Российской Федерации на период до 2030 года» (Минэкономразвития России, 8 ноября 2013 года)</t>
  </si>
  <si>
    <t>Стоимость единицы (цены 4 квартал 2016г), тыс. руб. без НДС</t>
  </si>
  <si>
    <t>«_____» февраля 2017г.</t>
  </si>
  <si>
    <t>план года 2018</t>
  </si>
  <si>
    <t>план года 2019</t>
  </si>
  <si>
    <t>план года 2020</t>
  </si>
  <si>
    <t>план года 2021</t>
  </si>
  <si>
    <t>план года 2022</t>
  </si>
  <si>
    <t>Стоимость основных этапов работ по реализации инвестиционной программы компании на год 2018</t>
  </si>
  <si>
    <t>Стоимость основных этапов работ по реализации инвестиционной программы компании на год 2019</t>
  </si>
  <si>
    <t>Стоимость основных этапов работ по реализации инвестиционной программы компании на год 2020</t>
  </si>
  <si>
    <t>Стоимость основных этапов работ по реализации инвестиционной программы компании на год 2021</t>
  </si>
  <si>
    <t>Стоимость основных этапов работ по реализации инвестиционной программы компании на год 2022</t>
  </si>
  <si>
    <t>Финансовая модель
(в разрезе каждого юридического лица группы/по конечным видам выпускаемой продукции) по годам до 2026 года включительно</t>
  </si>
  <si>
    <t>Расчет финансовых показателей инвестиционного проекта «Создание АИИС КУЭ</t>
  </si>
  <si>
    <t>поверка измерительных каналов</t>
  </si>
  <si>
    <t>этап</t>
  </si>
  <si>
    <t>канал</t>
  </si>
  <si>
    <t>точка учета</t>
  </si>
  <si>
    <t>2022/2021**</t>
  </si>
  <si>
    <t>монтаж 1 ф приборов прямого включения</t>
  </si>
  <si>
    <t>монтаж 3 ф приборов прямого включения</t>
  </si>
  <si>
    <t xml:space="preserve"> </t>
  </si>
  <si>
    <t>Создание АИИС КУЭ  (ИП-2018-2022/2)</t>
  </si>
  <si>
    <t>2018</t>
  </si>
  <si>
    <t>2022</t>
  </si>
  <si>
    <t>повышение надежности электроснабжения; снижение затрат на эксплуатацию оборудования</t>
  </si>
  <si>
    <t>снижение затрат на эксплуатацию оборудования; выполнение требований законодательства</t>
  </si>
  <si>
    <t>Реконструкция РП-1. (ИП-2018-2022/1)</t>
  </si>
  <si>
    <t>оборудования и материалов</t>
  </si>
  <si>
    <t>Наименование инвестиционного проекта (идентификатор)</t>
  </si>
  <si>
    <t>01.03.2017</t>
  </si>
  <si>
    <t>Сетевое строительство (реконструкция) и пусконаладочные работы (1 этап)</t>
  </si>
  <si>
    <t>Поверка измерительных каналов</t>
  </si>
  <si>
    <t>Сетевое строительство (реконструкция) и пусконаладочные работы (2 этап)</t>
  </si>
  <si>
    <t>Сетевое строительство (реконструкция) и пусконаладочные работы (3 этап)</t>
  </si>
  <si>
    <t>Сетевое строительство (реконструкция) и пусконаладочные работы (4 этап)</t>
  </si>
  <si>
    <t>Сетевое строительство (реконструкция) и пусконаладочные работы (5 этап)</t>
  </si>
  <si>
    <t>31.01.2018</t>
  </si>
  <si>
    <t>Сетевое строительство (реконструкция) и пусконаладочные работы (1 этап 5 ячеек)</t>
  </si>
  <si>
    <t>Строительство</t>
  </si>
  <si>
    <t>2 ТМ-400 кВА</t>
  </si>
  <si>
    <t>Инфраструктурные платежи рынка (услуги ФСК)</t>
  </si>
  <si>
    <t>Примечания:</t>
  </si>
  <si>
    <t>2) НВВ 2017 года, млн. руб.</t>
  </si>
  <si>
    <t>1) в п. I указана собственная выручка предприятия после компенсации НВВ смежных ТСО</t>
  </si>
  <si>
    <t>Доля расходов на финансирование ивестпрограммы в НВВ предприятия</t>
  </si>
  <si>
    <t>Сетевое строительство (реконструкция) и пусконаладочные работы (2этап 3 ячеек)</t>
  </si>
  <si>
    <t>Сетевое строительство (реконструкция) и пусконаладочные работы (3этап 2 ячеек)</t>
  </si>
  <si>
    <t>Сетевое строительство (реконструкция) и пусконаладочные работы (4этап 2 ячеек)</t>
  </si>
  <si>
    <t>Сетевое строительство (реконструкция) и пусконаладочные работы (5этап 3 ячеек)</t>
  </si>
  <si>
    <t>настройка програмого комплекса сбора и обработки данных</t>
  </si>
  <si>
    <t>монтаж приборов учета в точках поставки юридическим лицам</t>
  </si>
  <si>
    <t>Тепловая энергия</t>
  </si>
  <si>
    <t>«_____» __________ 2017г.</t>
  </si>
  <si>
    <t>Глава города Сосновоборска</t>
  </si>
  <si>
    <t>________________С.А. Пономарёв</t>
  </si>
  <si>
    <t>Процент освоения сметной стоимости
на 01.01.2018 года,
%</t>
  </si>
  <si>
    <t>Техническая готовность объекта
на 01.01.2018,
% **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</si>
</sst>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.000"/>
    <numFmt numFmtId="174" formatCode="#,##0.000"/>
    <numFmt numFmtId="175" formatCode="0.0"/>
    <numFmt numFmtId="176" formatCode="#,##0.0"/>
    <numFmt numFmtId="177" formatCode="0\ "/>
    <numFmt numFmtId="178" formatCode="0.0\ "/>
    <numFmt numFmtId="179" formatCode="0.0000"/>
    <numFmt numFmtId="180" formatCode="#,##0.0000"/>
    <numFmt numFmtId="181" formatCode="#,##0.00000"/>
    <numFmt numFmtId="182" formatCode="[$-FC19]dd\ mmmm\ yyyy\ &quot;г.&quot;"/>
    <numFmt numFmtId="183" formatCode="0.0%"/>
  </numFmts>
  <fonts count="58">
    <font>
      <sz val="10"/>
      <name val="SimSun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2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SimSu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Calibri"/>
      <family val="0"/>
    </font>
    <font>
      <sz val="8.4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2" fontId="1" fillId="0" borderId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right" wrapText="1"/>
    </xf>
    <xf numFmtId="49" fontId="3" fillId="0" borderId="0" xfId="0" applyNumberFormat="1" applyFont="1" applyBorder="1" applyAlignment="1">
      <alignment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/>
      <protection/>
    </xf>
    <xf numFmtId="1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173" fontId="5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0" fontId="17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173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177" fontId="18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74" fontId="2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3" fontId="8" fillId="0" borderId="13" xfId="0" applyNumberFormat="1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173" fontId="3" fillId="0" borderId="13" xfId="0" applyNumberFormat="1" applyFont="1" applyBorder="1" applyAlignment="1">
      <alignment horizontal="center" vertical="center"/>
    </xf>
    <xf numFmtId="174" fontId="3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77" fontId="18" fillId="0" borderId="0" xfId="0" applyNumberFormat="1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 horizontal="center" vertical="center"/>
    </xf>
    <xf numFmtId="173" fontId="8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/>
    </xf>
    <xf numFmtId="173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0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5" fontId="3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14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10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74" fontId="2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74" fontId="4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 indent="3"/>
    </xf>
    <xf numFmtId="1" fontId="3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173" fontId="3" fillId="0" borderId="13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173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left" wrapText="1"/>
    </xf>
    <xf numFmtId="174" fontId="2" fillId="0" borderId="13" xfId="0" applyNumberFormat="1" applyFont="1" applyFill="1" applyBorder="1" applyAlignment="1">
      <alignment horizontal="center" wrapText="1"/>
    </xf>
    <xf numFmtId="174" fontId="2" fillId="0" borderId="13" xfId="0" applyNumberFormat="1" applyFont="1" applyFill="1" applyBorder="1" applyAlignment="1">
      <alignment horizontal="left"/>
    </xf>
    <xf numFmtId="3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3" fontId="8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74" fontId="4" fillId="0" borderId="11" xfId="0" applyNumberFormat="1" applyFont="1" applyBorder="1" applyAlignment="1">
      <alignment horizontal="center" vertical="center"/>
    </xf>
    <xf numFmtId="174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/>
    </xf>
    <xf numFmtId="9" fontId="1" fillId="0" borderId="0" xfId="56" applyAlignment="1">
      <alignment/>
    </xf>
    <xf numFmtId="174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4" fontId="3" fillId="0" borderId="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174" fontId="3" fillId="0" borderId="17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174" fontId="8" fillId="0" borderId="1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5" fillId="0" borderId="13" xfId="0" applyFont="1" applyBorder="1" applyAlignment="1">
      <alignment horizontal="center"/>
    </xf>
    <xf numFmtId="10" fontId="3" fillId="0" borderId="13" xfId="56" applyNumberFormat="1" applyFont="1" applyBorder="1" applyAlignment="1">
      <alignment horizontal="center"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 indent="3"/>
    </xf>
    <xf numFmtId="0" fontId="2" fillId="0" borderId="1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475"/>
          <c:w val="0.951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'расчет фин. показателей'!$A$36</c:f>
              <c:strCache>
                <c:ptCount val="1"/>
                <c:pt idx="0">
                  <c:v>PV, руб.</c:v>
                </c:pt>
              </c:strCache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'расчет фин. показателей'!$B$35:$L$35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'расчет фин. показателей'!$B$36:$L$36</c:f>
              <c:numCache>
                <c:ptCount val="11"/>
                <c:pt idx="0">
                  <c:v>-4607393.091665414</c:v>
                </c:pt>
                <c:pt idx="1">
                  <c:v>-7716969.837284537</c:v>
                </c:pt>
                <c:pt idx="2">
                  <c:v>-10305828.71207952</c:v>
                </c:pt>
                <c:pt idx="3">
                  <c:v>-11612161.865995344</c:v>
                </c:pt>
                <c:pt idx="4">
                  <c:v>-11712111.461393898</c:v>
                </c:pt>
                <c:pt idx="5">
                  <c:v>-4339484.17092214</c:v>
                </c:pt>
                <c:pt idx="6">
                  <c:v>3291185.0747161303</c:v>
                </c:pt>
                <c:pt idx="7">
                  <c:v>11188927.743951742</c:v>
                </c:pt>
                <c:pt idx="8">
                  <c:v>19363091.406610597</c:v>
                </c:pt>
                <c:pt idx="9">
                  <c:v>27823350.79746251</c:v>
                </c:pt>
                <c:pt idx="10">
                  <c:v>36579719.266994245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'расчет фин. показателей'!$A$37</c:f>
              <c:strCache>
                <c:ptCount val="1"/>
                <c:pt idx="0">
                  <c:v>NPV, руб.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'расчет фин. показателей'!$B$35:$L$35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'расчет фин. показателей'!$B$37:$L$37</c:f>
              <c:numCache>
                <c:ptCount val="11"/>
                <c:pt idx="0">
                  <c:v>-4607393.091665414</c:v>
                </c:pt>
                <c:pt idx="1">
                  <c:v>-7434281.042228254</c:v>
                </c:pt>
                <c:pt idx="2">
                  <c:v>-9573833.831315015</c:v>
                </c:pt>
                <c:pt idx="3">
                  <c:v>-10555301.264760412</c:v>
                </c:pt>
                <c:pt idx="4">
                  <c:v>-10623568.18327592</c:v>
                </c:pt>
                <c:pt idx="5">
                  <c:v>-6045746.6916541625</c:v>
                </c:pt>
                <c:pt idx="6">
                  <c:v>-1738432.8336282372</c:v>
                </c:pt>
                <c:pt idx="7">
                  <c:v>2314357.9327870654</c:v>
                </c:pt>
                <c:pt idx="8">
                  <c:v>6127665.608459645</c:v>
                </c:pt>
                <c:pt idx="9">
                  <c:v>9715641.46693339</c:v>
                </c:pt>
                <c:pt idx="10">
                  <c:v>13091600.570133686</c:v>
                </c:pt>
              </c:numCache>
            </c:numRef>
          </c:val>
          <c:smooth val="0"/>
        </c:ser>
        <c:marker val="1"/>
        <c:axId val="17801439"/>
        <c:axId val="25995224"/>
      </c:lineChart>
      <c:catAx>
        <c:axId val="17801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5995224"/>
        <c:crossesAt val="0"/>
        <c:auto val="1"/>
        <c:lblOffset val="100"/>
        <c:tickLblSkip val="1"/>
        <c:noMultiLvlLbl val="0"/>
      </c:catAx>
      <c:valAx>
        <c:axId val="2599522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7801439"/>
        <c:crossesAt val="1"/>
        <c:crossBetween val="midCat"/>
        <c:dispUnits/>
      </c:valAx>
      <c:spPr>
        <a:solidFill>
          <a:srgbClr val="808000"/>
        </a:solidFill>
        <a:ln w="1270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78"/>
          <c:y val="0.389"/>
          <c:w val="0.22025"/>
          <c:h val="0.1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SimSun"/>
          <a:ea typeface="SimSun"/>
          <a:cs typeface="SimSu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24</xdr:row>
      <xdr:rowOff>200025</xdr:rowOff>
    </xdr:from>
    <xdr:to>
      <xdr:col>5</xdr:col>
      <xdr:colOff>942975</xdr:colOff>
      <xdr:row>39</xdr:row>
      <xdr:rowOff>28575</xdr:rowOff>
    </xdr:to>
    <xdr:graphicFrame>
      <xdr:nvGraphicFramePr>
        <xdr:cNvPr id="1" name="Диаграмма 1"/>
        <xdr:cNvGraphicFramePr/>
      </xdr:nvGraphicFramePr>
      <xdr:xfrm>
        <a:off x="6229350" y="5153025"/>
        <a:ext cx="46005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70" zoomScaleNormal="50" zoomScaleSheetLayoutView="70" zoomScalePageLayoutView="0" workbookViewId="0" topLeftCell="E7">
      <selection activeCell="N13" sqref="N13"/>
    </sheetView>
  </sheetViews>
  <sheetFormatPr defaultColWidth="4.625" defaultRowHeight="12.75"/>
  <cols>
    <col min="1" max="1" width="6.75390625" style="1" customWidth="1"/>
    <col min="2" max="2" width="36.75390625" style="1" customWidth="1"/>
    <col min="3" max="3" width="13.75390625" style="1" customWidth="1"/>
    <col min="4" max="4" width="19.25390625" style="1" customWidth="1"/>
    <col min="5" max="5" width="14.75390625" style="1" customWidth="1"/>
    <col min="6" max="6" width="15.375" style="1" customWidth="1"/>
    <col min="7" max="9" width="17.00390625" style="1" customWidth="1"/>
    <col min="10" max="20" width="13.75390625" style="1" customWidth="1"/>
    <col min="21" max="21" width="13.875" style="1" customWidth="1"/>
    <col min="22" max="23" width="14.25390625" style="1" customWidth="1"/>
    <col min="24" max="16384" width="4.625" style="1" customWidth="1"/>
  </cols>
  <sheetData>
    <row r="1" spans="17:21" s="2" customFormat="1" ht="51.75" customHeight="1">
      <c r="Q1" s="293"/>
      <c r="R1" s="293"/>
      <c r="S1" s="293"/>
      <c r="T1" s="293"/>
      <c r="U1" s="293"/>
    </row>
    <row r="2" spans="1:21" s="2" customFormat="1" ht="65.25" customHeight="1">
      <c r="A2" s="4"/>
      <c r="B2" s="6"/>
      <c r="C2" s="6"/>
      <c r="D2" s="294" t="s">
        <v>410</v>
      </c>
      <c r="E2" s="29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7" t="s">
        <v>0</v>
      </c>
      <c r="R2" s="8"/>
      <c r="S2" s="9"/>
      <c r="T2" s="10"/>
      <c r="U2" s="11"/>
    </row>
    <row r="3" spans="1:21" s="2" customFormat="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8"/>
      <c r="R3" s="8"/>
      <c r="S3" s="9"/>
      <c r="T3" s="12"/>
      <c r="U3" s="13"/>
    </row>
    <row r="4" spans="1:21" s="2" customFormat="1" ht="23.25" customHeight="1">
      <c r="A4" s="4"/>
      <c r="B4" s="4"/>
      <c r="C4" s="4"/>
      <c r="D4" s="8" t="s">
        <v>411</v>
      </c>
      <c r="E4" s="4"/>
      <c r="F4" s="4"/>
      <c r="G4" s="4"/>
      <c r="H4" s="4"/>
      <c r="I4" s="4"/>
      <c r="J4" s="4"/>
      <c r="K4" s="4"/>
      <c r="L4" s="8" t="s">
        <v>473</v>
      </c>
      <c r="M4" s="8"/>
      <c r="N4" s="9"/>
      <c r="O4" s="4"/>
      <c r="P4" s="4"/>
      <c r="Q4" s="8" t="s">
        <v>1</v>
      </c>
      <c r="R4" s="8"/>
      <c r="S4" s="9"/>
      <c r="T4" s="14"/>
      <c r="U4" s="15"/>
    </row>
    <row r="5" spans="1:21" s="2" customFormat="1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8"/>
      <c r="M5" s="8"/>
      <c r="N5" s="9"/>
      <c r="O5" s="4"/>
      <c r="P5" s="4"/>
      <c r="Q5" s="8"/>
      <c r="R5" s="8"/>
      <c r="S5" s="9"/>
      <c r="T5" s="16"/>
      <c r="U5" s="17"/>
    </row>
    <row r="6" spans="1:21" s="2" customFormat="1" ht="15.75" customHeight="1">
      <c r="A6" s="4"/>
      <c r="B6" s="4"/>
      <c r="C6" s="4"/>
      <c r="D6" s="8" t="s">
        <v>472</v>
      </c>
      <c r="E6" s="8"/>
      <c r="F6" s="9"/>
      <c r="G6" s="4"/>
      <c r="H6" s="4"/>
      <c r="I6" s="4"/>
      <c r="J6" s="4"/>
      <c r="K6" s="4"/>
      <c r="L6" s="8" t="s">
        <v>474</v>
      </c>
      <c r="M6" s="8"/>
      <c r="N6" s="9"/>
      <c r="O6" s="4"/>
      <c r="P6" s="18"/>
      <c r="Q6" s="8" t="s">
        <v>2</v>
      </c>
      <c r="R6" s="8"/>
      <c r="S6" s="9"/>
      <c r="T6" s="16"/>
      <c r="U6" s="9"/>
    </row>
    <row r="7" spans="1:21" s="2" customFormat="1" ht="24" customHeight="1">
      <c r="A7" s="6"/>
      <c r="B7" s="6"/>
      <c r="C7" s="19"/>
      <c r="D7" s="19"/>
      <c r="E7" s="19"/>
      <c r="F7" s="19"/>
      <c r="G7" s="19"/>
      <c r="H7" s="19"/>
      <c r="I7" s="4"/>
      <c r="J7" s="4"/>
      <c r="K7" s="4"/>
      <c r="L7" s="8"/>
      <c r="M7" s="8"/>
      <c r="N7" s="9"/>
      <c r="O7" s="4"/>
      <c r="P7" s="18"/>
      <c r="Q7" s="8"/>
      <c r="R7" s="8"/>
      <c r="S7" s="9"/>
      <c r="T7" s="16"/>
      <c r="U7" s="9"/>
    </row>
    <row r="8" spans="12:21" s="2" customFormat="1" ht="23.25" customHeight="1">
      <c r="L8" s="8" t="s">
        <v>420</v>
      </c>
      <c r="M8" s="8"/>
      <c r="N8" s="9"/>
      <c r="P8" s="20"/>
      <c r="Q8" s="8" t="s">
        <v>420</v>
      </c>
      <c r="R8" s="8"/>
      <c r="S8" s="9"/>
      <c r="T8" s="16"/>
      <c r="U8" s="9"/>
    </row>
    <row r="9" spans="16:21" s="2" customFormat="1" ht="13.5" customHeight="1">
      <c r="P9" s="20"/>
      <c r="Q9" s="8"/>
      <c r="R9" s="8"/>
      <c r="S9" s="9"/>
      <c r="T9" s="16"/>
      <c r="U9" s="9"/>
    </row>
    <row r="10" spans="1:20" s="2" customFormat="1" ht="13.5" customHeight="1">
      <c r="A10" s="21" t="s">
        <v>3</v>
      </c>
      <c r="B10" s="19"/>
      <c r="P10" s="20"/>
      <c r="Q10" s="22"/>
      <c r="R10" s="22"/>
      <c r="S10" s="23"/>
      <c r="T10" s="24"/>
    </row>
    <row r="11" s="2" customFormat="1" ht="13.5" customHeight="1"/>
    <row r="12" spans="1:21" s="25" customFormat="1" ht="31.5" customHeight="1">
      <c r="A12" s="292" t="s">
        <v>4</v>
      </c>
      <c r="B12" s="292" t="s">
        <v>5</v>
      </c>
      <c r="C12" s="292" t="s">
        <v>6</v>
      </c>
      <c r="D12" s="292" t="s">
        <v>7</v>
      </c>
      <c r="E12" s="292" t="s">
        <v>8</v>
      </c>
      <c r="F12" s="292" t="s">
        <v>9</v>
      </c>
      <c r="G12" s="292" t="s">
        <v>10</v>
      </c>
      <c r="H12" s="292" t="s">
        <v>11</v>
      </c>
      <c r="I12" s="292" t="s">
        <v>12</v>
      </c>
      <c r="J12" s="292" t="s">
        <v>13</v>
      </c>
      <c r="K12" s="292"/>
      <c r="L12" s="292"/>
      <c r="M12" s="292"/>
      <c r="N12" s="292"/>
      <c r="O12" s="292"/>
      <c r="P12" s="292" t="s">
        <v>14</v>
      </c>
      <c r="Q12" s="292"/>
      <c r="R12" s="292"/>
      <c r="S12" s="292"/>
      <c r="T12" s="292"/>
      <c r="U12" s="292"/>
    </row>
    <row r="13" spans="1:21" s="25" customFormat="1" ht="31.5" customHeight="1">
      <c r="A13" s="292"/>
      <c r="B13" s="292"/>
      <c r="C13" s="292"/>
      <c r="D13" s="292"/>
      <c r="E13" s="292"/>
      <c r="F13" s="292"/>
      <c r="G13" s="292"/>
      <c r="H13" s="292"/>
      <c r="I13" s="292"/>
      <c r="J13" s="156" t="s">
        <v>421</v>
      </c>
      <c r="K13" s="156" t="s">
        <v>422</v>
      </c>
      <c r="L13" s="156" t="s">
        <v>423</v>
      </c>
      <c r="M13" s="156" t="s">
        <v>424</v>
      </c>
      <c r="N13" s="156" t="s">
        <v>425</v>
      </c>
      <c r="O13" s="156" t="s">
        <v>15</v>
      </c>
      <c r="P13" s="156" t="s">
        <v>421</v>
      </c>
      <c r="Q13" s="156" t="s">
        <v>422</v>
      </c>
      <c r="R13" s="156" t="s">
        <v>423</v>
      </c>
      <c r="S13" s="156" t="s">
        <v>424</v>
      </c>
      <c r="T13" s="156" t="s">
        <v>425</v>
      </c>
      <c r="U13" s="156" t="s">
        <v>15</v>
      </c>
    </row>
    <row r="14" spans="1:21" s="28" customFormat="1" ht="36" customHeight="1">
      <c r="A14" s="156"/>
      <c r="B14" s="156"/>
      <c r="C14" s="157" t="s">
        <v>16</v>
      </c>
      <c r="D14" s="158" t="s">
        <v>17</v>
      </c>
      <c r="E14" s="156"/>
      <c r="F14" s="156"/>
      <c r="G14" s="157" t="s">
        <v>18</v>
      </c>
      <c r="H14" s="157" t="s">
        <v>18</v>
      </c>
      <c r="I14" s="157" t="s">
        <v>18</v>
      </c>
      <c r="J14" s="158" t="s">
        <v>17</v>
      </c>
      <c r="K14" s="158" t="s">
        <v>17</v>
      </c>
      <c r="L14" s="158" t="s">
        <v>17</v>
      </c>
      <c r="M14" s="158" t="s">
        <v>17</v>
      </c>
      <c r="N14" s="158" t="s">
        <v>17</v>
      </c>
      <c r="O14" s="158" t="s">
        <v>17</v>
      </c>
      <c r="P14" s="157" t="s">
        <v>18</v>
      </c>
      <c r="Q14" s="157" t="s">
        <v>18</v>
      </c>
      <c r="R14" s="157" t="s">
        <v>18</v>
      </c>
      <c r="S14" s="157" t="s">
        <v>18</v>
      </c>
      <c r="T14" s="157" t="s">
        <v>18</v>
      </c>
      <c r="U14" s="157" t="s">
        <v>18</v>
      </c>
    </row>
    <row r="15" spans="1:21" s="30" customFormat="1" ht="24.75" customHeight="1">
      <c r="A15" s="159"/>
      <c r="B15" s="160" t="s">
        <v>19</v>
      </c>
      <c r="C15" s="160"/>
      <c r="D15" s="160"/>
      <c r="E15" s="160"/>
      <c r="F15" s="160"/>
      <c r="G15" s="161">
        <f>G16+G28</f>
        <v>28.414441432482178</v>
      </c>
      <c r="H15" s="161">
        <f>H16+H28</f>
        <v>28.414441432482178</v>
      </c>
      <c r="I15" s="161">
        <f>I16+I28</f>
        <v>0</v>
      </c>
      <c r="J15" s="231"/>
      <c r="K15" s="231"/>
      <c r="L15" s="231"/>
      <c r="M15" s="231"/>
      <c r="N15" s="231"/>
      <c r="O15" s="231"/>
      <c r="P15" s="161">
        <f aca="true" t="shared" si="0" ref="P15:U15">P16+P28</f>
        <v>6.787119329474813</v>
      </c>
      <c r="Q15" s="161">
        <f t="shared" si="0"/>
        <v>6.533598719289465</v>
      </c>
      <c r="R15" s="161">
        <f t="shared" si="0"/>
        <v>6.894908077249273</v>
      </c>
      <c r="S15" s="161">
        <f t="shared" si="0"/>
        <v>7.14062988770813</v>
      </c>
      <c r="T15" s="161">
        <f t="shared" si="0"/>
        <v>7.594632819780907</v>
      </c>
      <c r="U15" s="161">
        <f t="shared" si="0"/>
        <v>34.95088883350259</v>
      </c>
    </row>
    <row r="16" spans="1:21" s="30" customFormat="1" ht="34.5" customHeight="1">
      <c r="A16" s="159" t="s">
        <v>20</v>
      </c>
      <c r="B16" s="156" t="s">
        <v>21</v>
      </c>
      <c r="C16" s="160"/>
      <c r="D16" s="160"/>
      <c r="E16" s="160"/>
      <c r="F16" s="160"/>
      <c r="G16" s="161">
        <f aca="true" t="shared" si="1" ref="G16:O16">G20</f>
        <v>4.0494493296</v>
      </c>
      <c r="H16" s="161">
        <f t="shared" si="1"/>
        <v>4.0494493296</v>
      </c>
      <c r="I16" s="161">
        <f t="shared" si="1"/>
        <v>0</v>
      </c>
      <c r="J16" s="161">
        <f t="shared" si="1"/>
        <v>0</v>
      </c>
      <c r="K16" s="161">
        <f t="shared" si="1"/>
        <v>0</v>
      </c>
      <c r="L16" s="161">
        <f t="shared" si="1"/>
        <v>0</v>
      </c>
      <c r="M16" s="161">
        <f t="shared" si="1"/>
        <v>0</v>
      </c>
      <c r="N16" s="161">
        <f t="shared" si="1"/>
        <v>0</v>
      </c>
      <c r="O16" s="161">
        <f t="shared" si="1"/>
        <v>0</v>
      </c>
      <c r="P16" s="161">
        <f aca="true" t="shared" si="2" ref="P16:U16">P17+P19</f>
        <v>1.3503954813096248</v>
      </c>
      <c r="Q16" s="161">
        <f t="shared" si="2"/>
        <v>1.3480409344589008</v>
      </c>
      <c r="R16" s="161">
        <f t="shared" si="2"/>
        <v>0.7014021492411956</v>
      </c>
      <c r="S16" s="161">
        <f t="shared" si="2"/>
        <v>0.7263988285355826</v>
      </c>
      <c r="T16" s="161">
        <f t="shared" si="2"/>
        <v>0.7522863433890281</v>
      </c>
      <c r="U16" s="161">
        <f t="shared" si="2"/>
        <v>4.878523736934333</v>
      </c>
    </row>
    <row r="17" spans="1:21" s="30" customFormat="1" ht="49.5" customHeight="1">
      <c r="A17" s="159" t="s">
        <v>22</v>
      </c>
      <c r="B17" s="156" t="s">
        <v>23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2"/>
      <c r="Q17" s="162"/>
      <c r="R17" s="162"/>
      <c r="S17" s="162"/>
      <c r="T17" s="162"/>
      <c r="U17" s="162"/>
    </row>
    <row r="18" spans="1:21" s="30" customFormat="1" ht="17.25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</row>
    <row r="19" spans="1:21" s="30" customFormat="1" ht="43.5" customHeight="1">
      <c r="A19" s="159" t="s">
        <v>24</v>
      </c>
      <c r="B19" s="156" t="s">
        <v>25</v>
      </c>
      <c r="C19" s="160"/>
      <c r="D19" s="160"/>
      <c r="E19" s="160"/>
      <c r="F19" s="160"/>
      <c r="G19" s="161">
        <f>G20</f>
        <v>4.0494493296</v>
      </c>
      <c r="H19" s="161">
        <f>H20</f>
        <v>4.0494493296</v>
      </c>
      <c r="I19" s="161">
        <f>I20</f>
        <v>0</v>
      </c>
      <c r="J19" s="160"/>
      <c r="K19" s="160"/>
      <c r="L19" s="160"/>
      <c r="M19" s="160"/>
      <c r="N19" s="160"/>
      <c r="O19" s="160"/>
      <c r="P19" s="162">
        <f aca="true" t="shared" si="3" ref="P19:U19">P20</f>
        <v>1.3503954813096248</v>
      </c>
      <c r="Q19" s="162">
        <f t="shared" si="3"/>
        <v>1.3480409344589008</v>
      </c>
      <c r="R19" s="162">
        <f t="shared" si="3"/>
        <v>0.7014021492411956</v>
      </c>
      <c r="S19" s="162">
        <f t="shared" si="3"/>
        <v>0.7263988285355826</v>
      </c>
      <c r="T19" s="162">
        <f t="shared" si="3"/>
        <v>0.7522863433890281</v>
      </c>
      <c r="U19" s="162">
        <f t="shared" si="3"/>
        <v>4.878523736934333</v>
      </c>
    </row>
    <row r="20" spans="1:21" s="30" customFormat="1" ht="31.5">
      <c r="A20" s="163"/>
      <c r="B20" s="168" t="s">
        <v>446</v>
      </c>
      <c r="C20" s="160" t="s">
        <v>30</v>
      </c>
      <c r="D20" s="160">
        <v>0</v>
      </c>
      <c r="E20" s="157">
        <v>2018</v>
      </c>
      <c r="F20" s="157">
        <v>2022</v>
      </c>
      <c r="G20" s="165">
        <f>'сметная стоимость работ'!T14</f>
        <v>4.0494493296</v>
      </c>
      <c r="H20" s="165">
        <f>G20</f>
        <v>4.0494493296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6">
        <f>'сметная стоимость работ'!N14</f>
        <v>1.3503954813096248</v>
      </c>
      <c r="Q20" s="166">
        <f>'сметная стоимость работ'!O14</f>
        <v>1.3480409344589008</v>
      </c>
      <c r="R20" s="166">
        <f>'сметная стоимость работ'!P14</f>
        <v>0.7014021492411956</v>
      </c>
      <c r="S20" s="166">
        <f>'сметная стоимость работ'!Q14</f>
        <v>0.7263988285355826</v>
      </c>
      <c r="T20" s="166">
        <f>'сметная стоимость работ'!R14</f>
        <v>0.7522863433890281</v>
      </c>
      <c r="U20" s="166">
        <f>'сметная стоимость работ'!S14</f>
        <v>4.878523736934333</v>
      </c>
    </row>
    <row r="21" spans="1:21" s="30" customFormat="1" ht="15.75" customHeight="1">
      <c r="A21" s="163"/>
      <c r="B21" s="158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2"/>
      <c r="Q21" s="162"/>
      <c r="R21" s="162"/>
      <c r="S21" s="162"/>
      <c r="T21" s="162"/>
      <c r="U21" s="162"/>
    </row>
    <row r="22" spans="1:21" s="30" customFormat="1" ht="32.25" customHeight="1">
      <c r="A22" s="159" t="s">
        <v>28</v>
      </c>
      <c r="B22" s="156" t="s">
        <v>29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2"/>
      <c r="Q22" s="162"/>
      <c r="R22" s="162"/>
      <c r="S22" s="162"/>
      <c r="T22" s="162"/>
      <c r="U22" s="162"/>
    </row>
    <row r="23" spans="1:21" s="28" customFormat="1" ht="11.25" customHeight="1">
      <c r="A23" s="163"/>
      <c r="B23" s="157" t="s">
        <v>30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66"/>
      <c r="Q23" s="166"/>
      <c r="R23" s="166"/>
      <c r="S23" s="166"/>
      <c r="T23" s="166"/>
      <c r="U23" s="166"/>
    </row>
    <row r="24" spans="1:21" s="30" customFormat="1" ht="63">
      <c r="A24" s="159" t="s">
        <v>31</v>
      </c>
      <c r="B24" s="156" t="s">
        <v>32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2"/>
      <c r="Q24" s="162"/>
      <c r="R24" s="162"/>
      <c r="S24" s="162"/>
      <c r="T24" s="162"/>
      <c r="U24" s="162"/>
    </row>
    <row r="25" spans="1:21" s="30" customFormat="1" ht="12.75" customHeight="1">
      <c r="A25" s="159"/>
      <c r="B25" s="156" t="s">
        <v>30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2"/>
      <c r="Q25" s="162"/>
      <c r="R25" s="162"/>
      <c r="S25" s="162"/>
      <c r="T25" s="162"/>
      <c r="U25" s="162"/>
    </row>
    <row r="26" spans="1:21" s="30" customFormat="1" ht="78.75">
      <c r="A26" s="159" t="s">
        <v>33</v>
      </c>
      <c r="B26" s="156" t="s">
        <v>34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2"/>
      <c r="Q26" s="162"/>
      <c r="R26" s="162"/>
      <c r="S26" s="162"/>
      <c r="T26" s="162"/>
      <c r="U26" s="162"/>
    </row>
    <row r="27" spans="1:21" s="30" customFormat="1" ht="15.75">
      <c r="A27" s="159"/>
      <c r="B27" s="156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2"/>
      <c r="Q27" s="162"/>
      <c r="R27" s="162"/>
      <c r="S27" s="162"/>
      <c r="T27" s="162"/>
      <c r="U27" s="162"/>
    </row>
    <row r="28" spans="1:21" s="30" customFormat="1" ht="15.75">
      <c r="A28" s="159" t="s">
        <v>207</v>
      </c>
      <c r="B28" s="156" t="s">
        <v>63</v>
      </c>
      <c r="C28" s="160"/>
      <c r="D28" s="160"/>
      <c r="E28" s="160"/>
      <c r="F28" s="160"/>
      <c r="G28" s="160">
        <f aca="true" t="shared" si="4" ref="G28:I29">G29</f>
        <v>24.364992102882177</v>
      </c>
      <c r="H28" s="160">
        <f t="shared" si="4"/>
        <v>24.364992102882177</v>
      </c>
      <c r="I28" s="160">
        <f t="shared" si="4"/>
        <v>0</v>
      </c>
      <c r="J28" s="160"/>
      <c r="K28" s="160"/>
      <c r="L28" s="160"/>
      <c r="M28" s="160"/>
      <c r="N28" s="160"/>
      <c r="O28" s="160"/>
      <c r="P28" s="162">
        <f>P29</f>
        <v>5.4367238481651885</v>
      </c>
      <c r="Q28" s="162">
        <f aca="true" t="shared" si="5" ref="Q28:U29">Q29</f>
        <v>5.185557784830564</v>
      </c>
      <c r="R28" s="162">
        <f t="shared" si="5"/>
        <v>6.1935059280080775</v>
      </c>
      <c r="S28" s="162">
        <f t="shared" si="5"/>
        <v>6.414231059172547</v>
      </c>
      <c r="T28" s="162">
        <f t="shared" si="5"/>
        <v>6.842346476391879</v>
      </c>
      <c r="U28" s="162">
        <f t="shared" si="5"/>
        <v>30.07236509656826</v>
      </c>
    </row>
    <row r="29" spans="1:21" s="28" customFormat="1" ht="31.5">
      <c r="A29" s="159" t="s">
        <v>35</v>
      </c>
      <c r="B29" s="156" t="s">
        <v>23</v>
      </c>
      <c r="C29" s="157"/>
      <c r="D29" s="157"/>
      <c r="E29" s="157"/>
      <c r="F29" s="157"/>
      <c r="G29" s="166">
        <f t="shared" si="4"/>
        <v>24.364992102882177</v>
      </c>
      <c r="H29" s="166">
        <f t="shared" si="4"/>
        <v>24.364992102882177</v>
      </c>
      <c r="I29" s="166">
        <f t="shared" si="4"/>
        <v>0</v>
      </c>
      <c r="J29" s="157"/>
      <c r="K29" s="157"/>
      <c r="L29" s="157"/>
      <c r="M29" s="157"/>
      <c r="N29" s="157"/>
      <c r="O29" s="157"/>
      <c r="P29" s="166">
        <f>P30</f>
        <v>5.4367238481651885</v>
      </c>
      <c r="Q29" s="166">
        <f t="shared" si="5"/>
        <v>5.185557784830564</v>
      </c>
      <c r="R29" s="166">
        <f t="shared" si="5"/>
        <v>6.1935059280080775</v>
      </c>
      <c r="S29" s="166">
        <f t="shared" si="5"/>
        <v>6.414231059172547</v>
      </c>
      <c r="T29" s="166">
        <f t="shared" si="5"/>
        <v>6.842346476391879</v>
      </c>
      <c r="U29" s="166">
        <f t="shared" si="5"/>
        <v>30.07236509656826</v>
      </c>
    </row>
    <row r="30" spans="1:21" s="28" customFormat="1" ht="40.5" customHeight="1">
      <c r="A30" s="163" t="s">
        <v>36</v>
      </c>
      <c r="B30" s="168" t="s">
        <v>441</v>
      </c>
      <c r="C30" s="157" t="s">
        <v>30</v>
      </c>
      <c r="D30" s="157">
        <v>0</v>
      </c>
      <c r="E30" s="157">
        <v>2018</v>
      </c>
      <c r="F30" s="157">
        <v>2022</v>
      </c>
      <c r="G30" s="166">
        <f>'сметная стоимость работ'!T17</f>
        <v>24.364992102882177</v>
      </c>
      <c r="H30" s="166">
        <f>G30</f>
        <v>24.364992102882177</v>
      </c>
      <c r="I30" s="166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f>SUM(J30:N30)</f>
        <v>0</v>
      </c>
      <c r="P30" s="166">
        <f>'сметная стоимость работ'!N17</f>
        <v>5.4367238481651885</v>
      </c>
      <c r="Q30" s="166">
        <f>'сметная стоимость работ'!O17</f>
        <v>5.185557784830564</v>
      </c>
      <c r="R30" s="166">
        <f>'сметная стоимость работ'!P17</f>
        <v>6.1935059280080775</v>
      </c>
      <c r="S30" s="166">
        <f>'сметная стоимость работ'!Q17</f>
        <v>6.414231059172547</v>
      </c>
      <c r="T30" s="166">
        <f>'сметная стоимость работ'!R17</f>
        <v>6.842346476391879</v>
      </c>
      <c r="U30" s="166">
        <f>'сметная стоимость работ'!S17</f>
        <v>30.07236509656826</v>
      </c>
    </row>
    <row r="31" spans="1:21" s="28" customFormat="1" ht="15.75">
      <c r="A31" s="163"/>
      <c r="B31" s="156"/>
      <c r="C31" s="157"/>
      <c r="D31" s="157"/>
      <c r="E31" s="157"/>
      <c r="F31" s="157"/>
      <c r="G31" s="162"/>
      <c r="H31" s="162"/>
      <c r="I31" s="162"/>
      <c r="J31" s="160"/>
      <c r="K31" s="157"/>
      <c r="L31" s="157"/>
      <c r="M31" s="157"/>
      <c r="N31" s="157"/>
      <c r="O31" s="160"/>
      <c r="P31" s="162"/>
      <c r="Q31" s="162"/>
      <c r="R31" s="162"/>
      <c r="S31" s="162"/>
      <c r="T31" s="162"/>
      <c r="U31" s="162"/>
    </row>
    <row r="32" spans="1:21" s="30" customFormat="1" ht="18" customHeight="1">
      <c r="A32" s="159" t="s">
        <v>37</v>
      </c>
      <c r="B32" s="170" t="s">
        <v>38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2"/>
      <c r="Q32" s="162"/>
      <c r="R32" s="162"/>
      <c r="S32" s="162"/>
      <c r="T32" s="162"/>
      <c r="U32" s="162"/>
    </row>
    <row r="33" spans="1:21" s="30" customFormat="1" ht="16.5" customHeight="1">
      <c r="A33" s="160"/>
      <c r="B33" s="171" t="s">
        <v>39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6"/>
      <c r="Q33" s="166"/>
      <c r="R33" s="166"/>
      <c r="S33" s="166"/>
      <c r="T33" s="166"/>
      <c r="U33" s="166"/>
    </row>
    <row r="34" spans="1:21" s="30" customFormat="1" ht="45.75" customHeight="1">
      <c r="A34" s="159"/>
      <c r="B34" s="156" t="s">
        <v>40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6">
        <v>0</v>
      </c>
      <c r="Q34" s="166">
        <v>0</v>
      </c>
      <c r="R34" s="166">
        <v>0</v>
      </c>
      <c r="S34" s="166">
        <v>0</v>
      </c>
      <c r="T34" s="166">
        <v>0</v>
      </c>
      <c r="U34" s="166">
        <v>0</v>
      </c>
    </row>
    <row r="35" spans="1:21" s="28" customFormat="1" ht="19.5" customHeight="1">
      <c r="A35" s="163"/>
      <c r="B35" s="156" t="s">
        <v>30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66"/>
      <c r="Q35" s="166"/>
      <c r="R35" s="166"/>
      <c r="S35" s="166"/>
      <c r="T35" s="166"/>
      <c r="U35" s="166"/>
    </row>
  </sheetData>
  <sheetProtection selectLockedCells="1" selectUnlockedCells="1"/>
  <mergeCells count="13">
    <mergeCell ref="Q1:U1"/>
    <mergeCell ref="D2:E2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O12"/>
    <mergeCell ref="P12:U12"/>
  </mergeCells>
  <printOptions/>
  <pageMargins left="0.3937007874015748" right="0.3937007874015748" top="0.7874015748031497" bottom="0.3937007874015748" header="0.5118110236220472" footer="0.5118110236220472"/>
  <pageSetup fitToHeight="5" fitToWidth="1" horizontalDpi="300" verticalDpi="3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68"/>
  <sheetViews>
    <sheetView view="pageBreakPreview" zoomScale="80" zoomScaleNormal="50" zoomScaleSheetLayoutView="80" zoomScalePageLayoutView="0" workbookViewId="0" topLeftCell="A1">
      <selection activeCell="G1" sqref="G1:J1"/>
    </sheetView>
  </sheetViews>
  <sheetFormatPr defaultColWidth="1.00390625" defaultRowHeight="12.75"/>
  <cols>
    <col min="1" max="1" width="35.75390625" style="1" customWidth="1"/>
    <col min="2" max="4" width="11.25390625" style="1" customWidth="1"/>
    <col min="5" max="5" width="9.875" style="1" customWidth="1"/>
    <col min="6" max="6" width="9.75390625" style="1" customWidth="1"/>
    <col min="7" max="10" width="10.25390625" style="1" customWidth="1"/>
    <col min="11" max="11" width="9.875" style="1" customWidth="1"/>
    <col min="12" max="45" width="5.75390625" style="1" customWidth="1"/>
    <col min="46" max="154" width="1.00390625" style="1" customWidth="1"/>
    <col min="155" max="16384" width="1.00390625" style="50" customWidth="1"/>
  </cols>
  <sheetData>
    <row r="1" spans="4:256" ht="33.75" customHeight="1">
      <c r="D1" s="120"/>
      <c r="E1" s="50"/>
      <c r="F1" s="50"/>
      <c r="G1" s="305"/>
      <c r="H1" s="305"/>
      <c r="I1" s="305"/>
      <c r="J1" s="305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155:256" ht="15.75"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</row>
    <row r="3" spans="155:256" ht="15.75"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</row>
    <row r="4" spans="6:256" ht="15.75">
      <c r="F4" s="75" t="s">
        <v>0</v>
      </c>
      <c r="G4" s="75"/>
      <c r="H4" s="75"/>
      <c r="I4" s="75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pans="6:256" ht="15.75">
      <c r="F5" s="75"/>
      <c r="G5" s="75"/>
      <c r="H5" s="75"/>
      <c r="I5" s="75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6:256" ht="15.75">
      <c r="F6" s="75" t="s">
        <v>1</v>
      </c>
      <c r="G6" s="75"/>
      <c r="H6" s="75"/>
      <c r="I6" s="75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6:256" ht="15.75">
      <c r="F7" s="75"/>
      <c r="G7" s="75"/>
      <c r="H7" s="75"/>
      <c r="I7" s="75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9" s="78" customFormat="1" ht="42.75" customHeight="1">
      <c r="A8" s="50"/>
      <c r="B8" s="5"/>
      <c r="C8" s="5"/>
      <c r="D8" s="121"/>
      <c r="E8" s="121"/>
      <c r="F8" s="75"/>
      <c r="G8" s="75"/>
      <c r="H8" s="75"/>
      <c r="I8" s="75"/>
    </row>
    <row r="9" spans="6:9" ht="15.75">
      <c r="F9" s="75" t="s">
        <v>226</v>
      </c>
      <c r="G9" s="75"/>
      <c r="H9" s="75"/>
      <c r="I9" s="75"/>
    </row>
    <row r="10" spans="4:9" ht="24.75" customHeight="1">
      <c r="D10" s="124"/>
      <c r="E10" s="124"/>
      <c r="F10" s="75"/>
      <c r="G10" s="75"/>
      <c r="H10" s="75"/>
      <c r="I10" s="75"/>
    </row>
    <row r="11" spans="4:9" ht="18.75">
      <c r="D11" s="125"/>
      <c r="E11" s="125"/>
      <c r="F11" s="8" t="s">
        <v>420</v>
      </c>
      <c r="G11" s="75"/>
      <c r="H11" s="75"/>
      <c r="I11" s="75"/>
    </row>
    <row r="12" spans="4:6" ht="12.75">
      <c r="D12" s="126"/>
      <c r="E12" s="126"/>
      <c r="F12" s="126"/>
    </row>
    <row r="13" spans="1:10" ht="58.5" customHeight="1">
      <c r="A13" s="308" t="s">
        <v>431</v>
      </c>
      <c r="B13" s="308"/>
      <c r="C13" s="308"/>
      <c r="D13" s="308"/>
      <c r="E13" s="308"/>
      <c r="F13" s="308"/>
      <c r="G13" s="308"/>
      <c r="H13" s="308"/>
      <c r="I13" s="308"/>
      <c r="J13" s="308"/>
    </row>
    <row r="16" spans="1:10" ht="39.75" customHeight="1">
      <c r="A16" s="230" t="s">
        <v>172</v>
      </c>
      <c r="B16" s="160">
        <v>2018</v>
      </c>
      <c r="C16" s="160">
        <v>2019</v>
      </c>
      <c r="D16" s="160">
        <v>2020</v>
      </c>
      <c r="E16" s="160">
        <v>2021</v>
      </c>
      <c r="F16" s="160">
        <v>2022</v>
      </c>
      <c r="G16" s="160">
        <v>2023</v>
      </c>
      <c r="H16" s="160">
        <v>2024</v>
      </c>
      <c r="I16" s="160">
        <v>2025</v>
      </c>
      <c r="J16" s="160">
        <v>2026</v>
      </c>
    </row>
    <row r="17" spans="1:10" ht="12.75">
      <c r="A17" s="239" t="s">
        <v>351</v>
      </c>
      <c r="B17" s="234">
        <f aca="true" t="shared" si="0" ref="B17:J17">B18</f>
        <v>67.9690466383093</v>
      </c>
      <c r="C17" s="234">
        <f t="shared" si="0"/>
        <v>70.9445441920032</v>
      </c>
      <c r="D17" s="234">
        <f t="shared" si="0"/>
        <v>73.78053886690068</v>
      </c>
      <c r="E17" s="234">
        <f t="shared" si="0"/>
        <v>76.62228946407993</v>
      </c>
      <c r="F17" s="234">
        <f t="shared" si="0"/>
        <v>79.83133769546718</v>
      </c>
      <c r="G17" s="234">
        <f t="shared" si="0"/>
        <v>85.65407454893081</v>
      </c>
      <c r="H17" s="234">
        <f t="shared" si="0"/>
        <v>98.50218573127042</v>
      </c>
      <c r="I17" s="234">
        <f t="shared" si="0"/>
        <v>113.27751359096096</v>
      </c>
      <c r="J17" s="234">
        <f t="shared" si="0"/>
        <v>130.2691406296051</v>
      </c>
    </row>
    <row r="18" spans="1:10" ht="12.75">
      <c r="A18" s="237" t="s">
        <v>352</v>
      </c>
      <c r="B18" s="234">
        <f>'4.1'!C15</f>
        <v>67.9690466383093</v>
      </c>
      <c r="C18" s="234">
        <f>'4.1'!D15</f>
        <v>70.9445441920032</v>
      </c>
      <c r="D18" s="234">
        <f>'4.1'!E15</f>
        <v>73.78053886690068</v>
      </c>
      <c r="E18" s="234">
        <f>'4.1'!F15</f>
        <v>76.62228946407993</v>
      </c>
      <c r="F18" s="234">
        <f>'4.1'!G15</f>
        <v>79.83133769546718</v>
      </c>
      <c r="G18" s="234">
        <f>(F18-'4.1'!G42)*1.15</f>
        <v>85.65407454893081</v>
      </c>
      <c r="H18" s="234">
        <f>(G18-'4.1'!H42)*1.15</f>
        <v>98.50218573127042</v>
      </c>
      <c r="I18" s="234">
        <f>(H18-'4.1'!I42)*1.15</f>
        <v>113.27751359096096</v>
      </c>
      <c r="J18" s="234">
        <f>(I18-'4.1'!J42)*1.15</f>
        <v>130.2691406296051</v>
      </c>
    </row>
    <row r="19" spans="1:10" ht="12.75">
      <c r="A19" s="240" t="s">
        <v>353</v>
      </c>
      <c r="B19" s="234"/>
      <c r="C19" s="234"/>
      <c r="D19" s="234"/>
      <c r="E19" s="234"/>
      <c r="F19" s="234"/>
      <c r="G19" s="240"/>
      <c r="H19" s="240"/>
      <c r="I19" s="240"/>
      <c r="J19" s="225"/>
    </row>
    <row r="20" spans="1:10" ht="12.75">
      <c r="A20" s="240" t="s">
        <v>354</v>
      </c>
      <c r="B20" s="234"/>
      <c r="C20" s="234"/>
      <c r="D20" s="234"/>
      <c r="E20" s="234"/>
      <c r="F20" s="234"/>
      <c r="G20" s="240"/>
      <c r="H20" s="240"/>
      <c r="I20" s="240"/>
      <c r="J20" s="225"/>
    </row>
    <row r="21" spans="1:10" ht="12.75">
      <c r="A21" s="239" t="s">
        <v>355</v>
      </c>
      <c r="B21" s="234">
        <f>'4.1'!C19</f>
        <v>65.73097227</v>
      </c>
      <c r="C21" s="234">
        <f>'4.1'!D19</f>
        <v>66.10108254259555</v>
      </c>
      <c r="D21" s="234">
        <f>'4.1'!E19</f>
        <v>68.74711367497817</v>
      </c>
      <c r="E21" s="234">
        <f>'4.1'!F19</f>
        <v>71.49519070421795</v>
      </c>
      <c r="F21" s="234">
        <f>'4.1'!G19</f>
        <v>74.48180395559201</v>
      </c>
      <c r="G21" s="234">
        <f>F21*1.15</f>
        <v>85.65407454893081</v>
      </c>
      <c r="H21" s="234">
        <f>G21*1.15</f>
        <v>98.50218573127042</v>
      </c>
      <c r="I21" s="234">
        <f>H21*1.15</f>
        <v>113.27751359096096</v>
      </c>
      <c r="J21" s="234">
        <f>I21*1.15</f>
        <v>130.2691406296051</v>
      </c>
    </row>
    <row r="22" spans="1:10" ht="12.75">
      <c r="A22" s="241" t="s">
        <v>356</v>
      </c>
      <c r="B22" s="234">
        <f aca="true" t="shared" si="1" ref="B22:J22">B21-B26</f>
        <v>62.56739241</v>
      </c>
      <c r="C22" s="234">
        <f t="shared" si="1"/>
        <v>62.76666937015555</v>
      </c>
      <c r="D22" s="234">
        <f t="shared" si="1"/>
        <v>65.2326421912264</v>
      </c>
      <c r="E22" s="234">
        <f t="shared" si="1"/>
        <v>67.7909377603436</v>
      </c>
      <c r="F22" s="234">
        <f t="shared" si="1"/>
        <v>70.57752135274845</v>
      </c>
      <c r="G22" s="234">
        <f t="shared" si="1"/>
        <v>81.53896068553368</v>
      </c>
      <c r="H22" s="234">
        <f t="shared" si="1"/>
        <v>94.16485571924984</v>
      </c>
      <c r="I22" s="234">
        <f t="shared" si="1"/>
        <v>108.70596775829128</v>
      </c>
      <c r="J22" s="234">
        <f t="shared" si="1"/>
        <v>125.45073132197125</v>
      </c>
    </row>
    <row r="23" spans="1:10" ht="12.75">
      <c r="A23" s="239" t="s">
        <v>352</v>
      </c>
      <c r="B23" s="234">
        <f aca="true" t="shared" si="2" ref="B23:J23">B22</f>
        <v>62.56739241</v>
      </c>
      <c r="C23" s="234">
        <f t="shared" si="2"/>
        <v>62.76666937015555</v>
      </c>
      <c r="D23" s="234">
        <f t="shared" si="2"/>
        <v>65.2326421912264</v>
      </c>
      <c r="E23" s="234">
        <f t="shared" si="2"/>
        <v>67.7909377603436</v>
      </c>
      <c r="F23" s="234">
        <f t="shared" si="2"/>
        <v>70.57752135274845</v>
      </c>
      <c r="G23" s="234">
        <f t="shared" si="2"/>
        <v>81.53896068553368</v>
      </c>
      <c r="H23" s="234">
        <f t="shared" si="2"/>
        <v>94.16485571924984</v>
      </c>
      <c r="I23" s="234">
        <f t="shared" si="2"/>
        <v>108.70596775829128</v>
      </c>
      <c r="J23" s="234">
        <f t="shared" si="2"/>
        <v>125.45073132197125</v>
      </c>
    </row>
    <row r="24" spans="1:10" ht="12.75">
      <c r="A24" s="240" t="s">
        <v>353</v>
      </c>
      <c r="B24" s="240"/>
      <c r="C24" s="240"/>
      <c r="D24" s="240"/>
      <c r="E24" s="240"/>
      <c r="F24" s="240"/>
      <c r="G24" s="240"/>
      <c r="H24" s="240"/>
      <c r="I24" s="240"/>
      <c r="J24" s="225"/>
    </row>
    <row r="25" spans="1:10" ht="12.75">
      <c r="A25" s="240" t="s">
        <v>354</v>
      </c>
      <c r="B25" s="240"/>
      <c r="C25" s="240"/>
      <c r="D25" s="240"/>
      <c r="E25" s="240"/>
      <c r="F25" s="240"/>
      <c r="G25" s="240"/>
      <c r="H25" s="240"/>
      <c r="I25" s="240"/>
      <c r="J25" s="225"/>
    </row>
    <row r="26" spans="1:10" ht="12.75">
      <c r="A26" s="241" t="s">
        <v>357</v>
      </c>
      <c r="B26" s="234">
        <f>2.99298*1.057</f>
        <v>3.16357986</v>
      </c>
      <c r="C26" s="234">
        <f aca="true" t="shared" si="3" ref="C26:J26">B26*1.054</f>
        <v>3.33441317244</v>
      </c>
      <c r="D26" s="234">
        <f t="shared" si="3"/>
        <v>3.5144714837517603</v>
      </c>
      <c r="E26" s="234">
        <f t="shared" si="3"/>
        <v>3.7042529438743554</v>
      </c>
      <c r="F26" s="234">
        <f t="shared" si="3"/>
        <v>3.904282602843571</v>
      </c>
      <c r="G26" s="234">
        <f t="shared" si="3"/>
        <v>4.115113863397124</v>
      </c>
      <c r="H26" s="234">
        <f t="shared" si="3"/>
        <v>4.337330012020568</v>
      </c>
      <c r="I26" s="234">
        <f t="shared" si="3"/>
        <v>4.571545832669679</v>
      </c>
      <c r="J26" s="234">
        <f t="shared" si="3"/>
        <v>4.818409307633842</v>
      </c>
    </row>
    <row r="27" spans="1:10" ht="12.75">
      <c r="A27" s="239" t="s">
        <v>358</v>
      </c>
      <c r="B27" s="234">
        <f aca="true" t="shared" si="4" ref="B27:J27">B18-B21</f>
        <v>2.2380743683092987</v>
      </c>
      <c r="C27" s="234">
        <f t="shared" si="4"/>
        <v>4.843461649407658</v>
      </c>
      <c r="D27" s="234">
        <f t="shared" si="4"/>
        <v>5.033425191922518</v>
      </c>
      <c r="E27" s="234">
        <f t="shared" si="4"/>
        <v>5.12709875986198</v>
      </c>
      <c r="F27" s="234">
        <f t="shared" si="4"/>
        <v>5.34953373987517</v>
      </c>
      <c r="G27" s="234">
        <f t="shared" si="4"/>
        <v>0</v>
      </c>
      <c r="H27" s="234">
        <f t="shared" si="4"/>
        <v>0</v>
      </c>
      <c r="I27" s="234">
        <f t="shared" si="4"/>
        <v>0</v>
      </c>
      <c r="J27" s="234">
        <f t="shared" si="4"/>
        <v>0</v>
      </c>
    </row>
    <row r="28" spans="1:10" ht="12.75">
      <c r="A28" s="239" t="s">
        <v>359</v>
      </c>
      <c r="B28" s="239"/>
      <c r="C28" s="239"/>
      <c r="D28" s="239"/>
      <c r="E28" s="239"/>
      <c r="F28" s="239"/>
      <c r="G28" s="239"/>
      <c r="H28" s="239"/>
      <c r="I28" s="239"/>
      <c r="J28" s="225"/>
    </row>
    <row r="29" spans="1:10" ht="12.75">
      <c r="A29" s="239" t="s">
        <v>154</v>
      </c>
      <c r="B29" s="234">
        <v>0</v>
      </c>
      <c r="C29" s="234">
        <v>0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</row>
    <row r="30" spans="1:10" ht="12.75">
      <c r="A30" s="239" t="s">
        <v>127</v>
      </c>
      <c r="B30" s="234">
        <f>'4.1'!C43</f>
        <v>0.4476148736618599</v>
      </c>
      <c r="C30" s="234">
        <f>'4.1'!D43</f>
        <v>0.9686923298815318</v>
      </c>
      <c r="D30" s="234">
        <f>'4.1'!E43</f>
        <v>1.0066850383845045</v>
      </c>
      <c r="E30" s="234">
        <f>'4.1'!F43</f>
        <v>1.0254197519723949</v>
      </c>
      <c r="F30" s="234">
        <f>'4.1'!G43</f>
        <v>1.0699067479750326</v>
      </c>
      <c r="G30" s="234">
        <f>'4.1'!H43</f>
        <v>0</v>
      </c>
      <c r="H30" s="234">
        <f>'4.1'!I43</f>
        <v>0</v>
      </c>
      <c r="I30" s="234">
        <f>'4.1'!J43</f>
        <v>0</v>
      </c>
      <c r="J30" s="234">
        <f>'4.1'!K43</f>
        <v>0</v>
      </c>
    </row>
    <row r="31" spans="1:10" ht="12.75">
      <c r="A31" s="239" t="s">
        <v>360</v>
      </c>
      <c r="B31" s="234">
        <f aca="true" t="shared" si="5" ref="B31:J31">B32</f>
        <v>1.7904594946474388</v>
      </c>
      <c r="C31" s="234">
        <f t="shared" si="5"/>
        <v>3.874769319526126</v>
      </c>
      <c r="D31" s="234">
        <f t="shared" si="5"/>
        <v>4.026740153538014</v>
      </c>
      <c r="E31" s="234">
        <f t="shared" si="5"/>
        <v>4.101679007889585</v>
      </c>
      <c r="F31" s="234">
        <f t="shared" si="5"/>
        <v>4.2796269919001375</v>
      </c>
      <c r="G31" s="234">
        <f t="shared" si="5"/>
        <v>0</v>
      </c>
      <c r="H31" s="234">
        <f t="shared" si="5"/>
        <v>0</v>
      </c>
      <c r="I31" s="234">
        <f t="shared" si="5"/>
        <v>0</v>
      </c>
      <c r="J31" s="234">
        <f t="shared" si="5"/>
        <v>0</v>
      </c>
    </row>
    <row r="32" spans="1:10" ht="24.75" customHeight="1">
      <c r="A32" s="242" t="s">
        <v>361</v>
      </c>
      <c r="B32" s="234">
        <f aca="true" t="shared" si="6" ref="B32:J32">B17-B21-B30</f>
        <v>1.7904594946474388</v>
      </c>
      <c r="C32" s="234">
        <f t="shared" si="6"/>
        <v>3.874769319526126</v>
      </c>
      <c r="D32" s="234">
        <f t="shared" si="6"/>
        <v>4.026740153538014</v>
      </c>
      <c r="E32" s="234">
        <f t="shared" si="6"/>
        <v>4.101679007889585</v>
      </c>
      <c r="F32" s="234">
        <f t="shared" si="6"/>
        <v>4.2796269919001375</v>
      </c>
      <c r="G32" s="234">
        <f t="shared" si="6"/>
        <v>0</v>
      </c>
      <c r="H32" s="234">
        <f t="shared" si="6"/>
        <v>0</v>
      </c>
      <c r="I32" s="234">
        <f t="shared" si="6"/>
        <v>0</v>
      </c>
      <c r="J32" s="234">
        <f t="shared" si="6"/>
        <v>0</v>
      </c>
    </row>
    <row r="33" spans="1:10" ht="12.75">
      <c r="A33" s="239"/>
      <c r="B33" s="239"/>
      <c r="C33" s="239"/>
      <c r="D33" s="239"/>
      <c r="E33" s="239"/>
      <c r="F33" s="239"/>
      <c r="G33" s="239"/>
      <c r="H33" s="239"/>
      <c r="I33" s="239"/>
      <c r="J33" s="225"/>
    </row>
    <row r="34" spans="1:10" ht="12.75">
      <c r="A34" s="239" t="s">
        <v>362</v>
      </c>
      <c r="B34" s="229"/>
      <c r="C34" s="229"/>
      <c r="D34" s="229"/>
      <c r="E34" s="229"/>
      <c r="F34" s="229"/>
      <c r="G34" s="229"/>
      <c r="H34" s="229"/>
      <c r="I34" s="229"/>
      <c r="J34" s="229"/>
    </row>
    <row r="35" spans="1:10" ht="12.75">
      <c r="A35" s="239" t="s">
        <v>363</v>
      </c>
      <c r="B35" s="234">
        <f aca="true" t="shared" si="7" ref="B35:J35">B36</f>
        <v>67.52143176464743</v>
      </c>
      <c r="C35" s="234">
        <f t="shared" si="7"/>
        <v>69.97585186212167</v>
      </c>
      <c r="D35" s="234">
        <f t="shared" si="7"/>
        <v>72.77385382851618</v>
      </c>
      <c r="E35" s="234">
        <f t="shared" si="7"/>
        <v>75.59686971210753</v>
      </c>
      <c r="F35" s="234">
        <f t="shared" si="7"/>
        <v>78.76143094749216</v>
      </c>
      <c r="G35" s="234">
        <f t="shared" si="7"/>
        <v>85.65407454893081</v>
      </c>
      <c r="H35" s="234">
        <f t="shared" si="7"/>
        <v>98.50218573127042</v>
      </c>
      <c r="I35" s="234">
        <f t="shared" si="7"/>
        <v>113.27751359096096</v>
      </c>
      <c r="J35" s="234">
        <f t="shared" si="7"/>
        <v>130.2691406296051</v>
      </c>
    </row>
    <row r="36" spans="1:10" ht="25.5" customHeight="1">
      <c r="A36" s="239" t="s">
        <v>352</v>
      </c>
      <c r="B36" s="234">
        <f aca="true" t="shared" si="8" ref="B36:J36">B18-B30</f>
        <v>67.52143176464743</v>
      </c>
      <c r="C36" s="234">
        <f t="shared" si="8"/>
        <v>69.97585186212167</v>
      </c>
      <c r="D36" s="234">
        <f t="shared" si="8"/>
        <v>72.77385382851618</v>
      </c>
      <c r="E36" s="234">
        <f t="shared" si="8"/>
        <v>75.59686971210753</v>
      </c>
      <c r="F36" s="234">
        <f t="shared" si="8"/>
        <v>78.76143094749216</v>
      </c>
      <c r="G36" s="234">
        <f t="shared" si="8"/>
        <v>85.65407454893081</v>
      </c>
      <c r="H36" s="234">
        <f t="shared" si="8"/>
        <v>98.50218573127042</v>
      </c>
      <c r="I36" s="234">
        <f t="shared" si="8"/>
        <v>113.27751359096096</v>
      </c>
      <c r="J36" s="234">
        <f t="shared" si="8"/>
        <v>130.2691406296051</v>
      </c>
    </row>
    <row r="37" spans="1:10" ht="12.75">
      <c r="A37" s="240" t="s">
        <v>353</v>
      </c>
      <c r="B37" s="240"/>
      <c r="C37" s="240"/>
      <c r="D37" s="240"/>
      <c r="E37" s="240"/>
      <c r="F37" s="240"/>
      <c r="G37" s="240"/>
      <c r="H37" s="240"/>
      <c r="I37" s="240"/>
      <c r="J37" s="225"/>
    </row>
    <row r="38" spans="1:10" ht="12.75">
      <c r="A38" s="240" t="s">
        <v>354</v>
      </c>
      <c r="B38" s="240"/>
      <c r="C38" s="240"/>
      <c r="D38" s="240"/>
      <c r="E38" s="240"/>
      <c r="F38" s="240"/>
      <c r="G38" s="240"/>
      <c r="H38" s="240"/>
      <c r="I38" s="240"/>
      <c r="J38" s="225"/>
    </row>
    <row r="39" spans="1:10" ht="12.75">
      <c r="A39" s="239" t="s">
        <v>364</v>
      </c>
      <c r="B39" s="234">
        <f>'4.1'!C19-'4.1'!C26</f>
        <v>61.42497227</v>
      </c>
      <c r="C39" s="234">
        <f>'4.1'!D19-'4.1'!D26</f>
        <v>63.693010700918435</v>
      </c>
      <c r="D39" s="234">
        <f>'4.1'!E19-'4.1'!E26</f>
        <v>66.15556391061328</v>
      </c>
      <c r="E39" s="234">
        <f>'4.1'!F19-'4.1'!F26</f>
        <v>68.75591524231918</v>
      </c>
      <c r="F39" s="234">
        <f>'4.1'!G19-'4.1'!G26</f>
        <v>71.50147324326247</v>
      </c>
      <c r="G39" s="234">
        <f>G21-'4.1'!$G$26</f>
        <v>82.67374383660126</v>
      </c>
      <c r="H39" s="234">
        <f>H21-'4.1'!$G$26</f>
        <v>95.52185501894087</v>
      </c>
      <c r="I39" s="234">
        <f>I21-'4.1'!$G$26</f>
        <v>110.29718287863142</v>
      </c>
      <c r="J39" s="234">
        <f>J21-'4.1'!$G$26</f>
        <v>127.28880991727554</v>
      </c>
    </row>
    <row r="40" spans="1:10" ht="12.75">
      <c r="A40" s="241" t="s">
        <v>365</v>
      </c>
      <c r="B40" s="234">
        <f aca="true" t="shared" si="9" ref="B40:J40">B41</f>
        <v>62.56739241</v>
      </c>
      <c r="C40" s="234">
        <f t="shared" si="9"/>
        <v>62.76666937015555</v>
      </c>
      <c r="D40" s="234">
        <f t="shared" si="9"/>
        <v>65.2326421912264</v>
      </c>
      <c r="E40" s="234">
        <f t="shared" si="9"/>
        <v>67.7909377603436</v>
      </c>
      <c r="F40" s="234">
        <f t="shared" si="9"/>
        <v>70.57752135274845</v>
      </c>
      <c r="G40" s="234">
        <f t="shared" si="9"/>
        <v>81.53896068553368</v>
      </c>
      <c r="H40" s="234">
        <f t="shared" si="9"/>
        <v>94.16485571924984</v>
      </c>
      <c r="I40" s="234">
        <f t="shared" si="9"/>
        <v>108.70596775829128</v>
      </c>
      <c r="J40" s="234">
        <f t="shared" si="9"/>
        <v>125.45073132197125</v>
      </c>
    </row>
    <row r="41" spans="1:10" ht="12.75">
      <c r="A41" s="239" t="s">
        <v>352</v>
      </c>
      <c r="B41" s="234">
        <f aca="true" t="shared" si="10" ref="B41:J41">B22</f>
        <v>62.56739241</v>
      </c>
      <c r="C41" s="234">
        <f t="shared" si="10"/>
        <v>62.76666937015555</v>
      </c>
      <c r="D41" s="234">
        <f t="shared" si="10"/>
        <v>65.2326421912264</v>
      </c>
      <c r="E41" s="234">
        <f t="shared" si="10"/>
        <v>67.7909377603436</v>
      </c>
      <c r="F41" s="234">
        <f t="shared" si="10"/>
        <v>70.57752135274845</v>
      </c>
      <c r="G41" s="234">
        <f t="shared" si="10"/>
        <v>81.53896068553368</v>
      </c>
      <c r="H41" s="234">
        <f t="shared" si="10"/>
        <v>94.16485571924984</v>
      </c>
      <c r="I41" s="234">
        <f t="shared" si="10"/>
        <v>108.70596775829128</v>
      </c>
      <c r="J41" s="234">
        <f t="shared" si="10"/>
        <v>125.45073132197125</v>
      </c>
    </row>
    <row r="42" spans="1:10" ht="12.75">
      <c r="A42" s="240" t="s">
        <v>353</v>
      </c>
      <c r="B42" s="234"/>
      <c r="C42" s="234"/>
      <c r="D42" s="234"/>
      <c r="E42" s="234"/>
      <c r="F42" s="234"/>
      <c r="G42" s="234"/>
      <c r="H42" s="234"/>
      <c r="I42" s="234"/>
      <c r="J42" s="234"/>
    </row>
    <row r="43" spans="1:10" ht="12.75">
      <c r="A43" s="240" t="s">
        <v>354</v>
      </c>
      <c r="B43" s="240"/>
      <c r="C43" s="240"/>
      <c r="D43" s="240"/>
      <c r="E43" s="240"/>
      <c r="F43" s="240"/>
      <c r="G43" s="240"/>
      <c r="H43" s="240"/>
      <c r="I43" s="240"/>
      <c r="J43" s="225"/>
    </row>
    <row r="44" spans="1:10" ht="12.75">
      <c r="A44" s="241" t="s">
        <v>366</v>
      </c>
      <c r="B44" s="234">
        <f aca="true" t="shared" si="11" ref="B44:J44">B26</f>
        <v>3.16357986</v>
      </c>
      <c r="C44" s="234">
        <f t="shared" si="11"/>
        <v>3.33441317244</v>
      </c>
      <c r="D44" s="234">
        <f t="shared" si="11"/>
        <v>3.5144714837517603</v>
      </c>
      <c r="E44" s="234">
        <f t="shared" si="11"/>
        <v>3.7042529438743554</v>
      </c>
      <c r="F44" s="234">
        <f t="shared" si="11"/>
        <v>3.904282602843571</v>
      </c>
      <c r="G44" s="234">
        <f t="shared" si="11"/>
        <v>4.115113863397124</v>
      </c>
      <c r="H44" s="234">
        <f t="shared" si="11"/>
        <v>4.337330012020568</v>
      </c>
      <c r="I44" s="234">
        <f t="shared" si="11"/>
        <v>4.571545832669679</v>
      </c>
      <c r="J44" s="234">
        <f t="shared" si="11"/>
        <v>4.818409307633842</v>
      </c>
    </row>
    <row r="45" spans="1:10" ht="12.75">
      <c r="A45" s="241" t="s">
        <v>367</v>
      </c>
      <c r="B45" s="234">
        <v>0</v>
      </c>
      <c r="C45" s="234">
        <v>0</v>
      </c>
      <c r="D45" s="234">
        <v>0</v>
      </c>
      <c r="E45" s="234">
        <v>0</v>
      </c>
      <c r="F45" s="234">
        <v>0</v>
      </c>
      <c r="G45" s="234">
        <v>0</v>
      </c>
      <c r="H45" s="234">
        <v>0</v>
      </c>
      <c r="I45" s="234">
        <v>0</v>
      </c>
      <c r="J45" s="234">
        <v>0</v>
      </c>
    </row>
    <row r="46" spans="1:10" ht="12.75">
      <c r="A46" s="239" t="s">
        <v>368</v>
      </c>
      <c r="B46" s="234">
        <f aca="true" t="shared" si="12" ref="B46:J46">B35-B39</f>
        <v>6.0964594946474335</v>
      </c>
      <c r="C46" s="234">
        <f t="shared" si="12"/>
        <v>6.282841161203237</v>
      </c>
      <c r="D46" s="234">
        <f t="shared" si="12"/>
        <v>6.618289917902899</v>
      </c>
      <c r="E46" s="234">
        <f t="shared" si="12"/>
        <v>6.8409544697883575</v>
      </c>
      <c r="F46" s="234">
        <f t="shared" si="12"/>
        <v>7.2599577042296914</v>
      </c>
      <c r="G46" s="234">
        <f t="shared" si="12"/>
        <v>2.980330712329547</v>
      </c>
      <c r="H46" s="234">
        <f t="shared" si="12"/>
        <v>2.980330712329547</v>
      </c>
      <c r="I46" s="234">
        <f t="shared" si="12"/>
        <v>2.980330712329547</v>
      </c>
      <c r="J46" s="234">
        <f t="shared" si="12"/>
        <v>2.980330712329547</v>
      </c>
    </row>
    <row r="47" spans="1:10" ht="12.75">
      <c r="A47" s="239" t="s">
        <v>369</v>
      </c>
      <c r="B47" s="229"/>
      <c r="C47" s="239"/>
      <c r="D47" s="239"/>
      <c r="E47" s="239"/>
      <c r="F47" s="239"/>
      <c r="G47" s="239"/>
      <c r="H47" s="239"/>
      <c r="I47" s="239"/>
      <c r="J47" s="225"/>
    </row>
    <row r="48" spans="1:10" ht="12.75">
      <c r="A48" s="239" t="s">
        <v>363</v>
      </c>
      <c r="B48" s="234">
        <f>'расчет фин. показателей'!B23</f>
        <v>0</v>
      </c>
      <c r="C48" s="234">
        <f>'расчет фин. показателей'!C23</f>
        <v>1.28496375</v>
      </c>
      <c r="D48" s="234">
        <f>'расчет фин. показателей'!D23</f>
        <v>2.6598749624999996</v>
      </c>
      <c r="E48" s="234">
        <f>'расчет фин. показателей'!E23</f>
        <v>4.129455879281249</v>
      </c>
      <c r="F48" s="234">
        <f>'расчет фин. показателей'!F23</f>
        <v>5.698649113408123</v>
      </c>
      <c r="G48" s="234">
        <f>'расчет фин. показателей'!G23</f>
        <v>7.372627290471759</v>
      </c>
      <c r="H48" s="234">
        <f>'расчет фин. показателей'!H23</f>
        <v>7.63066924563827</v>
      </c>
      <c r="I48" s="234">
        <f>'расчет фин. показателей'!I23</f>
        <v>7.89774266923561</v>
      </c>
      <c r="J48" s="234">
        <f>'расчет фин. показателей'!J23</f>
        <v>8.174163662658856</v>
      </c>
    </row>
    <row r="49" spans="1:10" ht="12.75">
      <c r="A49" s="239" t="s">
        <v>364</v>
      </c>
      <c r="B49" s="234">
        <f>'сметная стоимость работ'!N24/1.18</f>
        <v>5.7517960419278085</v>
      </c>
      <c r="C49" s="234">
        <f>'сметная стоимость работ'!O24/1.18</f>
        <v>5.536948067194462</v>
      </c>
      <c r="D49" s="234">
        <f>'сметная стоимость работ'!P24/1.18</f>
        <v>5.843142438346842</v>
      </c>
      <c r="E49" s="234">
        <f>'сметная стоимость работ'!Q24/1.18</f>
        <v>6.051381260769602</v>
      </c>
      <c r="F49" s="234">
        <f>'сметная стоимость работ'!R24/1.18</f>
        <v>6.4361295082889045</v>
      </c>
      <c r="G49" s="234">
        <v>0</v>
      </c>
      <c r="H49" s="234">
        <v>0</v>
      </c>
      <c r="I49" s="234">
        <v>0</v>
      </c>
      <c r="J49" s="234">
        <v>0</v>
      </c>
    </row>
    <row r="50" spans="1:10" ht="12.75">
      <c r="A50" s="239" t="s">
        <v>370</v>
      </c>
      <c r="B50" s="234">
        <f aca="true" t="shared" si="13" ref="B50:J50">B48-B49</f>
        <v>-5.7517960419278085</v>
      </c>
      <c r="C50" s="234">
        <f t="shared" si="13"/>
        <v>-4.251984317194462</v>
      </c>
      <c r="D50" s="234">
        <f t="shared" si="13"/>
        <v>-3.183267475846842</v>
      </c>
      <c r="E50" s="234">
        <f t="shared" si="13"/>
        <v>-1.9219253814883528</v>
      </c>
      <c r="F50" s="234">
        <f t="shared" si="13"/>
        <v>-0.7374803948807811</v>
      </c>
      <c r="G50" s="234">
        <f t="shared" si="13"/>
        <v>7.372627290471759</v>
      </c>
      <c r="H50" s="234">
        <f t="shared" si="13"/>
        <v>7.63066924563827</v>
      </c>
      <c r="I50" s="234">
        <f t="shared" si="13"/>
        <v>7.89774266923561</v>
      </c>
      <c r="J50" s="234">
        <f t="shared" si="13"/>
        <v>8.174163662658856</v>
      </c>
    </row>
    <row r="51" spans="1:10" ht="12.75">
      <c r="A51" s="239" t="s">
        <v>371</v>
      </c>
      <c r="B51" s="239"/>
      <c r="C51" s="239"/>
      <c r="D51" s="239"/>
      <c r="E51" s="239"/>
      <c r="F51" s="239"/>
      <c r="G51" s="239"/>
      <c r="H51" s="239"/>
      <c r="I51" s="239"/>
      <c r="J51" s="225"/>
    </row>
    <row r="52" spans="1:10" ht="12.75">
      <c r="A52" s="239" t="s">
        <v>363</v>
      </c>
      <c r="B52" s="239"/>
      <c r="C52" s="239"/>
      <c r="D52" s="239"/>
      <c r="E52" s="239"/>
      <c r="F52" s="239"/>
      <c r="G52" s="239"/>
      <c r="H52" s="239"/>
      <c r="I52" s="239"/>
      <c r="J52" s="225"/>
    </row>
    <row r="53" spans="1:10" ht="12.75">
      <c r="A53" s="241" t="s">
        <v>372</v>
      </c>
      <c r="B53" s="241"/>
      <c r="C53" s="241"/>
      <c r="D53" s="241"/>
      <c r="E53" s="241"/>
      <c r="F53" s="241"/>
      <c r="G53" s="241"/>
      <c r="H53" s="241"/>
      <c r="I53" s="241"/>
      <c r="J53" s="225"/>
    </row>
    <row r="54" spans="1:10" ht="12.75">
      <c r="A54" s="241" t="s">
        <v>373</v>
      </c>
      <c r="B54" s="241"/>
      <c r="C54" s="241"/>
      <c r="D54" s="241"/>
      <c r="E54" s="241"/>
      <c r="F54" s="241"/>
      <c r="G54" s="241"/>
      <c r="H54" s="241"/>
      <c r="I54" s="241"/>
      <c r="J54" s="225"/>
    </row>
    <row r="55" spans="1:10" ht="12.75">
      <c r="A55" s="239" t="s">
        <v>364</v>
      </c>
      <c r="B55" s="239"/>
      <c r="C55" s="239"/>
      <c r="D55" s="239"/>
      <c r="E55" s="239"/>
      <c r="F55" s="239"/>
      <c r="G55" s="239"/>
      <c r="H55" s="239"/>
      <c r="I55" s="239"/>
      <c r="J55" s="225"/>
    </row>
    <row r="56" spans="1:10" ht="12.75">
      <c r="A56" s="241" t="s">
        <v>374</v>
      </c>
      <c r="B56" s="241"/>
      <c r="C56" s="241"/>
      <c r="D56" s="241"/>
      <c r="E56" s="241"/>
      <c r="F56" s="241"/>
      <c r="G56" s="241"/>
      <c r="H56" s="241"/>
      <c r="I56" s="241"/>
      <c r="J56" s="225"/>
    </row>
    <row r="57" spans="1:10" ht="12.75">
      <c r="A57" s="239" t="s">
        <v>375</v>
      </c>
      <c r="B57" s="239"/>
      <c r="C57" s="239"/>
      <c r="D57" s="239"/>
      <c r="E57" s="239"/>
      <c r="F57" s="239"/>
      <c r="G57" s="239"/>
      <c r="H57" s="239"/>
      <c r="I57" s="239"/>
      <c r="J57" s="225"/>
    </row>
    <row r="58" spans="1:10" ht="12.75">
      <c r="A58" s="239" t="s">
        <v>376</v>
      </c>
      <c r="B58" s="234">
        <f aca="true" t="shared" si="14" ref="B58:J58">B46+B50+B57</f>
        <v>0.34466345271962506</v>
      </c>
      <c r="C58" s="234">
        <f t="shared" si="14"/>
        <v>2.030856844008775</v>
      </c>
      <c r="D58" s="234">
        <f t="shared" si="14"/>
        <v>3.435022442056057</v>
      </c>
      <c r="E58" s="234">
        <f t="shared" si="14"/>
        <v>4.919029088300005</v>
      </c>
      <c r="F58" s="234">
        <f t="shared" si="14"/>
        <v>6.52247730934891</v>
      </c>
      <c r="G58" s="234">
        <f t="shared" si="14"/>
        <v>10.352958002801305</v>
      </c>
      <c r="H58" s="234">
        <f t="shared" si="14"/>
        <v>10.610999957967817</v>
      </c>
      <c r="I58" s="234">
        <f t="shared" si="14"/>
        <v>10.878073381565157</v>
      </c>
      <c r="J58" s="234">
        <f t="shared" si="14"/>
        <v>11.154494374988403</v>
      </c>
    </row>
    <row r="59" spans="1:10" ht="12.75">
      <c r="A59" s="239" t="s">
        <v>377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  <c r="H59" s="223">
        <v>0</v>
      </c>
      <c r="I59" s="223">
        <v>0</v>
      </c>
      <c r="J59" s="223">
        <v>0</v>
      </c>
    </row>
    <row r="60" spans="1:10" ht="12.75">
      <c r="A60" s="239" t="s">
        <v>378</v>
      </c>
      <c r="B60" s="223">
        <v>0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  <c r="H60" s="223">
        <v>0</v>
      </c>
      <c r="I60" s="223">
        <v>0</v>
      </c>
      <c r="J60" s="223">
        <v>0</v>
      </c>
    </row>
    <row r="61" spans="1:10" ht="12.75">
      <c r="A61" s="239" t="s">
        <v>379</v>
      </c>
      <c r="B61" s="223">
        <v>0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  <c r="H61" s="223">
        <v>0</v>
      </c>
      <c r="I61" s="223">
        <v>0</v>
      </c>
      <c r="J61" s="223">
        <v>0</v>
      </c>
    </row>
    <row r="62" spans="1:10" ht="24.75" customHeight="1">
      <c r="A62" s="242" t="s">
        <v>380</v>
      </c>
      <c r="B62" s="223">
        <v>0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  <c r="H62" s="223">
        <v>0</v>
      </c>
      <c r="I62" s="223">
        <v>0</v>
      </c>
      <c r="J62" s="223">
        <v>0</v>
      </c>
    </row>
    <row r="63" spans="1:10" ht="12.75">
      <c r="A63" s="239" t="s">
        <v>381</v>
      </c>
      <c r="B63" s="223">
        <v>0</v>
      </c>
      <c r="C63" s="223">
        <v>0</v>
      </c>
      <c r="D63" s="223">
        <v>0</v>
      </c>
      <c r="E63" s="223">
        <v>0</v>
      </c>
      <c r="F63" s="223">
        <v>0</v>
      </c>
      <c r="G63" s="223">
        <v>0</v>
      </c>
      <c r="H63" s="223">
        <v>0</v>
      </c>
      <c r="I63" s="223">
        <v>0</v>
      </c>
      <c r="J63" s="223">
        <v>0</v>
      </c>
    </row>
    <row r="64" spans="1:10" ht="12.75">
      <c r="A64" s="239" t="s">
        <v>376</v>
      </c>
      <c r="B64" s="234">
        <f aca="true" t="shared" si="15" ref="B64:J64">B58</f>
        <v>0.34466345271962506</v>
      </c>
      <c r="C64" s="234">
        <f t="shared" si="15"/>
        <v>2.030856844008775</v>
      </c>
      <c r="D64" s="234">
        <f t="shared" si="15"/>
        <v>3.435022442056057</v>
      </c>
      <c r="E64" s="234">
        <f t="shared" si="15"/>
        <v>4.919029088300005</v>
      </c>
      <c r="F64" s="234">
        <f t="shared" si="15"/>
        <v>6.52247730934891</v>
      </c>
      <c r="G64" s="234">
        <f t="shared" si="15"/>
        <v>10.352958002801305</v>
      </c>
      <c r="H64" s="234">
        <f t="shared" si="15"/>
        <v>10.610999957967817</v>
      </c>
      <c r="I64" s="234">
        <f t="shared" si="15"/>
        <v>10.878073381565157</v>
      </c>
      <c r="J64" s="234">
        <f t="shared" si="15"/>
        <v>11.154494374988403</v>
      </c>
    </row>
    <row r="65" spans="1:10" ht="12.75">
      <c r="A65" s="239" t="s">
        <v>382</v>
      </c>
      <c r="B65" s="234">
        <f>B64</f>
        <v>0.34466345271962506</v>
      </c>
      <c r="C65" s="234">
        <f aca="true" t="shared" si="16" ref="C65:J65">B65+C64</f>
        <v>2.3755202967284</v>
      </c>
      <c r="D65" s="234">
        <f t="shared" si="16"/>
        <v>5.8105427387844575</v>
      </c>
      <c r="E65" s="234">
        <f t="shared" si="16"/>
        <v>10.729571827084463</v>
      </c>
      <c r="F65" s="234">
        <f t="shared" si="16"/>
        <v>17.252049136433374</v>
      </c>
      <c r="G65" s="234">
        <f t="shared" si="16"/>
        <v>27.60500713923468</v>
      </c>
      <c r="H65" s="234">
        <f t="shared" si="16"/>
        <v>38.21600709720249</v>
      </c>
      <c r="I65" s="234">
        <f t="shared" si="16"/>
        <v>49.09408047876765</v>
      </c>
      <c r="J65" s="234">
        <f t="shared" si="16"/>
        <v>60.248574853756054</v>
      </c>
    </row>
    <row r="66" spans="1:10" ht="24.75" customHeight="1">
      <c r="A66" s="242" t="s">
        <v>383</v>
      </c>
      <c r="B66" s="243"/>
      <c r="C66" s="243"/>
      <c r="D66" s="243"/>
      <c r="E66" s="243"/>
      <c r="F66" s="243"/>
      <c r="G66" s="243"/>
      <c r="H66" s="243"/>
      <c r="I66" s="243"/>
      <c r="J66" s="225"/>
    </row>
    <row r="67" spans="1:10" ht="12.75">
      <c r="A67" s="239" t="s">
        <v>384</v>
      </c>
      <c r="B67" s="223">
        <v>0</v>
      </c>
      <c r="C67" s="223">
        <v>0</v>
      </c>
      <c r="D67" s="223">
        <v>0</v>
      </c>
      <c r="E67" s="223">
        <v>0</v>
      </c>
      <c r="F67" s="223">
        <v>0</v>
      </c>
      <c r="G67" s="223">
        <v>0</v>
      </c>
      <c r="H67" s="223">
        <v>0</v>
      </c>
      <c r="I67" s="223">
        <v>0</v>
      </c>
      <c r="J67" s="224">
        <v>0</v>
      </c>
    </row>
    <row r="68" spans="1:10" ht="12.75">
      <c r="A68" s="239" t="s">
        <v>385</v>
      </c>
      <c r="B68" s="223">
        <v>0</v>
      </c>
      <c r="C68" s="223">
        <v>0</v>
      </c>
      <c r="D68" s="223">
        <v>0</v>
      </c>
      <c r="E68" s="223">
        <v>0</v>
      </c>
      <c r="F68" s="223">
        <v>0</v>
      </c>
      <c r="G68" s="223">
        <v>0</v>
      </c>
      <c r="H68" s="223">
        <v>0</v>
      </c>
      <c r="I68" s="223">
        <v>0</v>
      </c>
      <c r="J68" s="224">
        <v>0</v>
      </c>
    </row>
  </sheetData>
  <sheetProtection selectLockedCells="1" selectUnlockedCells="1"/>
  <mergeCells count="2">
    <mergeCell ref="G1:J1"/>
    <mergeCell ref="A13:J13"/>
  </mergeCells>
  <printOptions/>
  <pageMargins left="1.163888888888889" right="0.3194444444444444" top="0.7875" bottom="0.7875" header="0.5118055555555555" footer="0.5118055555555555"/>
  <pageSetup horizontalDpi="300" verticalDpi="3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="70" zoomScaleNormal="50" zoomScaleSheetLayoutView="70" zoomScalePageLayoutView="0" workbookViewId="0" topLeftCell="A1">
      <selection activeCell="O21" sqref="O21"/>
    </sheetView>
  </sheetViews>
  <sheetFormatPr defaultColWidth="8.625" defaultRowHeight="12.75"/>
  <cols>
    <col min="1" max="1" width="32.625" style="50" customWidth="1"/>
    <col min="2" max="6" width="13.375" style="50" customWidth="1"/>
    <col min="7" max="7" width="12.25390625" style="50" customWidth="1"/>
    <col min="8" max="9" width="8.625" style="50" customWidth="1"/>
    <col min="10" max="10" width="8.625" style="127" customWidth="1"/>
    <col min="11" max="13" width="8.625" style="50" customWidth="1"/>
    <col min="14" max="19" width="10.125" style="50" customWidth="1"/>
    <col min="20" max="20" width="12.25390625" style="50" customWidth="1"/>
  </cols>
  <sheetData>
    <row r="1" spans="1:20" ht="15.75">
      <c r="A1" s="47"/>
      <c r="B1" s="89"/>
      <c r="C1" s="89"/>
      <c r="D1" s="89"/>
      <c r="E1" s="89"/>
      <c r="F1" s="89"/>
      <c r="G1" s="89"/>
      <c r="H1" s="89"/>
      <c r="I1" s="89"/>
      <c r="J1" s="128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15.75">
      <c r="A2" s="47"/>
      <c r="B2" s="89"/>
      <c r="C2" s="89"/>
      <c r="D2" s="89"/>
      <c r="E2" s="89"/>
      <c r="F2" s="89"/>
      <c r="G2" s="89"/>
      <c r="H2" s="89"/>
      <c r="I2" s="89"/>
      <c r="J2" s="128"/>
      <c r="K2" s="89"/>
      <c r="L2" s="89"/>
      <c r="M2" s="89"/>
      <c r="N2" s="89"/>
      <c r="O2" s="89"/>
      <c r="P2" s="89"/>
      <c r="Q2" s="75" t="s">
        <v>0</v>
      </c>
      <c r="R2" s="75"/>
      <c r="S2" s="75"/>
      <c r="T2" s="75"/>
    </row>
    <row r="3" spans="1:20" ht="15.75">
      <c r="A3" s="47"/>
      <c r="B3" s="89"/>
      <c r="C3" s="89"/>
      <c r="D3" s="89"/>
      <c r="E3" s="89"/>
      <c r="F3" s="89"/>
      <c r="G3" s="89"/>
      <c r="H3" s="89"/>
      <c r="I3" s="89"/>
      <c r="J3" s="128"/>
      <c r="K3" s="89"/>
      <c r="L3" s="89"/>
      <c r="M3" s="89"/>
      <c r="N3" s="89"/>
      <c r="O3" s="89"/>
      <c r="P3" s="89"/>
      <c r="Q3" s="75"/>
      <c r="R3" s="75"/>
      <c r="S3" s="75"/>
      <c r="T3" s="75"/>
    </row>
    <row r="4" spans="1:20" ht="15.75">
      <c r="A4" s="47"/>
      <c r="B4" s="89"/>
      <c r="C4" s="89"/>
      <c r="D4" s="89"/>
      <c r="E4" s="89"/>
      <c r="F4" s="89"/>
      <c r="G4" s="89"/>
      <c r="H4" s="89"/>
      <c r="I4" s="89"/>
      <c r="J4" s="128"/>
      <c r="K4" s="89"/>
      <c r="L4" s="89"/>
      <c r="M4" s="89"/>
      <c r="N4" s="89"/>
      <c r="O4" s="89"/>
      <c r="P4" s="89"/>
      <c r="Q4" s="75" t="s">
        <v>1</v>
      </c>
      <c r="R4" s="75"/>
      <c r="S4" s="75"/>
      <c r="T4" s="75"/>
    </row>
    <row r="5" spans="1:20" ht="15.75">
      <c r="A5" s="47"/>
      <c r="B5" s="89"/>
      <c r="C5" s="89"/>
      <c r="D5" s="89"/>
      <c r="E5" s="89"/>
      <c r="F5" s="89"/>
      <c r="G5" s="89"/>
      <c r="H5" s="89"/>
      <c r="I5" s="89"/>
      <c r="J5" s="128"/>
      <c r="K5" s="89"/>
      <c r="L5" s="89"/>
      <c r="M5" s="89"/>
      <c r="N5" s="89"/>
      <c r="O5" s="89"/>
      <c r="P5" s="89"/>
      <c r="Q5" s="75"/>
      <c r="R5" s="75"/>
      <c r="S5" s="75"/>
      <c r="T5" s="75"/>
    </row>
    <row r="6" spans="1:20" ht="15.75">
      <c r="A6" s="47"/>
      <c r="B6" s="89"/>
      <c r="C6" s="89"/>
      <c r="D6" s="89"/>
      <c r="E6" s="89"/>
      <c r="F6" s="89"/>
      <c r="G6" s="89"/>
      <c r="H6" s="89"/>
      <c r="I6" s="89"/>
      <c r="J6" s="128"/>
      <c r="K6" s="89"/>
      <c r="L6" s="89"/>
      <c r="M6" s="89"/>
      <c r="N6" s="89"/>
      <c r="O6" s="89"/>
      <c r="P6" s="89"/>
      <c r="Q6" s="75"/>
      <c r="R6" s="75"/>
      <c r="S6" s="75"/>
      <c r="T6" s="75"/>
    </row>
    <row r="7" spans="1:20" ht="15.75">
      <c r="A7" s="47"/>
      <c r="B7" s="89"/>
      <c r="C7" s="89"/>
      <c r="D7" s="89"/>
      <c r="E7" s="89"/>
      <c r="F7" s="89"/>
      <c r="G7" s="89"/>
      <c r="H7" s="129"/>
      <c r="I7" s="89"/>
      <c r="J7" s="128"/>
      <c r="K7" s="89"/>
      <c r="L7" s="89"/>
      <c r="M7" s="89"/>
      <c r="N7" s="89"/>
      <c r="O7" s="89"/>
      <c r="P7" s="89"/>
      <c r="Q7" s="75" t="s">
        <v>226</v>
      </c>
      <c r="R7" s="75"/>
      <c r="S7" s="75"/>
      <c r="T7" s="75"/>
    </row>
    <row r="8" spans="1:20" ht="15.75">
      <c r="A8" s="47"/>
      <c r="B8" s="89"/>
      <c r="C8" s="89"/>
      <c r="D8" s="89"/>
      <c r="E8" s="89"/>
      <c r="F8" s="89"/>
      <c r="G8" s="89"/>
      <c r="H8" s="89"/>
      <c r="I8" s="89"/>
      <c r="J8" s="128"/>
      <c r="K8" s="89"/>
      <c r="L8" s="89"/>
      <c r="M8" s="89"/>
      <c r="N8" s="89"/>
      <c r="O8" s="89"/>
      <c r="P8" s="89"/>
      <c r="Q8" s="75"/>
      <c r="R8" s="75"/>
      <c r="S8" s="75"/>
      <c r="T8" s="75"/>
    </row>
    <row r="9" spans="1:20" ht="18.75">
      <c r="A9" s="47"/>
      <c r="B9" s="89"/>
      <c r="C9" s="89"/>
      <c r="D9" s="89"/>
      <c r="E9" s="89"/>
      <c r="F9" s="89"/>
      <c r="G9" s="89"/>
      <c r="H9" s="89"/>
      <c r="I9" s="89"/>
      <c r="J9" s="128"/>
      <c r="K9" s="89"/>
      <c r="L9" s="89"/>
      <c r="M9" s="89"/>
      <c r="N9" s="89"/>
      <c r="O9" s="89"/>
      <c r="P9" s="89"/>
      <c r="Q9" s="8" t="s">
        <v>420</v>
      </c>
      <c r="R9" s="75"/>
      <c r="S9" s="75"/>
      <c r="T9" s="75"/>
    </row>
    <row r="10" spans="1:20" ht="15.75">
      <c r="A10" s="47" t="s">
        <v>386</v>
      </c>
      <c r="B10" s="89"/>
      <c r="C10" s="89"/>
      <c r="D10" s="89"/>
      <c r="E10" s="89"/>
      <c r="F10" s="89"/>
      <c r="G10" s="89"/>
      <c r="H10" s="89"/>
      <c r="I10" s="89"/>
      <c r="J10" s="128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0" ht="15">
      <c r="A11" s="89"/>
      <c r="B11" s="89"/>
      <c r="C11" s="89"/>
      <c r="D11" s="89"/>
      <c r="E11" s="89"/>
      <c r="F11" s="89"/>
      <c r="G11" s="89"/>
      <c r="H11" s="89"/>
      <c r="I11" s="89"/>
      <c r="J11" s="128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0" ht="58.5" customHeight="1">
      <c r="A12" s="299" t="s">
        <v>387</v>
      </c>
      <c r="B12" s="299" t="s">
        <v>388</v>
      </c>
      <c r="C12" s="299" t="s">
        <v>419</v>
      </c>
      <c r="D12" s="299" t="s">
        <v>26</v>
      </c>
      <c r="E12" s="299" t="s">
        <v>389</v>
      </c>
      <c r="F12" s="299" t="s">
        <v>447</v>
      </c>
      <c r="G12" s="299" t="s">
        <v>390</v>
      </c>
      <c r="H12" s="311" t="s">
        <v>391</v>
      </c>
      <c r="I12" s="311"/>
      <c r="J12" s="311"/>
      <c r="K12" s="311"/>
      <c r="L12" s="311"/>
      <c r="M12" s="311"/>
      <c r="N12" s="311" t="s">
        <v>392</v>
      </c>
      <c r="O12" s="311"/>
      <c r="P12" s="311"/>
      <c r="Q12" s="311"/>
      <c r="R12" s="311"/>
      <c r="S12" s="311"/>
      <c r="T12" s="311"/>
    </row>
    <row r="13" spans="1:20" ht="68.25" customHeight="1">
      <c r="A13" s="299"/>
      <c r="B13" s="299"/>
      <c r="C13" s="299"/>
      <c r="D13" s="299"/>
      <c r="E13" s="299"/>
      <c r="F13" s="299"/>
      <c r="G13" s="299"/>
      <c r="H13" s="157">
        <v>2018</v>
      </c>
      <c r="I13" s="157">
        <v>2019</v>
      </c>
      <c r="J13" s="244">
        <v>2020</v>
      </c>
      <c r="K13" s="157">
        <v>2021</v>
      </c>
      <c r="L13" s="157">
        <v>2022</v>
      </c>
      <c r="M13" s="157" t="s">
        <v>308</v>
      </c>
      <c r="N13" s="157">
        <v>2018</v>
      </c>
      <c r="O13" s="157">
        <v>2019</v>
      </c>
      <c r="P13" s="244">
        <v>2020</v>
      </c>
      <c r="Q13" s="157">
        <v>2021</v>
      </c>
      <c r="R13" s="157">
        <v>2022</v>
      </c>
      <c r="S13" s="157" t="s">
        <v>308</v>
      </c>
      <c r="T13" s="158" t="s">
        <v>393</v>
      </c>
    </row>
    <row r="14" spans="1:20" ht="31.5">
      <c r="A14" s="164" t="s">
        <v>446</v>
      </c>
      <c r="B14" s="157"/>
      <c r="C14" s="166">
        <f>D14+E14+F14+G14</f>
        <v>531.67752</v>
      </c>
      <c r="D14" s="166">
        <f>SUM(D15:D16)</f>
        <v>48.334320000000005</v>
      </c>
      <c r="E14" s="166">
        <f>SUM(E15:E16)</f>
        <v>75.34320000000001</v>
      </c>
      <c r="F14" s="166">
        <f>SUM(F15:F16)</f>
        <v>408</v>
      </c>
      <c r="G14" s="166">
        <f>SUM(G15:G16)</f>
        <v>0</v>
      </c>
      <c r="H14" s="245"/>
      <c r="I14" s="199"/>
      <c r="J14" s="165"/>
      <c r="K14" s="199"/>
      <c r="L14" s="199"/>
      <c r="M14" s="199"/>
      <c r="N14" s="162">
        <f aca="true" t="shared" si="0" ref="N14:T14">SUM(N15:N16)</f>
        <v>1.3503954813096248</v>
      </c>
      <c r="O14" s="162">
        <f t="shared" si="0"/>
        <v>1.3480409344589008</v>
      </c>
      <c r="P14" s="162">
        <f t="shared" si="0"/>
        <v>0.7014021492411956</v>
      </c>
      <c r="Q14" s="162">
        <f t="shared" si="0"/>
        <v>0.7263988285355826</v>
      </c>
      <c r="R14" s="162">
        <f t="shared" si="0"/>
        <v>0.7522863433890281</v>
      </c>
      <c r="S14" s="162">
        <f t="shared" si="0"/>
        <v>4.878523736934333</v>
      </c>
      <c r="T14" s="162">
        <f t="shared" si="0"/>
        <v>4.0494493296</v>
      </c>
    </row>
    <row r="15" spans="1:20" ht="15.75">
      <c r="A15" s="158" t="s">
        <v>26</v>
      </c>
      <c r="B15" s="157" t="s">
        <v>394</v>
      </c>
      <c r="C15" s="166">
        <f>D15+E15+F15+G15</f>
        <v>48.334320000000005</v>
      </c>
      <c r="D15" s="166">
        <f>(E16+F16)*0.1</f>
        <v>48.334320000000005</v>
      </c>
      <c r="E15" s="166"/>
      <c r="F15" s="166"/>
      <c r="G15" s="166"/>
      <c r="H15" s="165">
        <v>1</v>
      </c>
      <c r="I15" s="199"/>
      <c r="J15" s="165"/>
      <c r="K15" s="199"/>
      <c r="L15" s="199"/>
      <c r="M15" s="199">
        <f>SUM(H15:L15)</f>
        <v>1</v>
      </c>
      <c r="N15" s="166">
        <f aca="true" t="shared" si="1" ref="N15:R16">H15*$C15*C$36/1000*1.18</f>
        <v>0.06430454672902976</v>
      </c>
      <c r="O15" s="166">
        <f t="shared" si="1"/>
        <v>0</v>
      </c>
      <c r="P15" s="166">
        <f t="shared" si="1"/>
        <v>0</v>
      </c>
      <c r="Q15" s="166">
        <f t="shared" si="1"/>
        <v>0</v>
      </c>
      <c r="R15" s="166">
        <f t="shared" si="1"/>
        <v>0</v>
      </c>
      <c r="S15" s="166">
        <f>SUM(N15:R15)</f>
        <v>0.06430454672902976</v>
      </c>
      <c r="T15" s="246">
        <f>M15*C15*1.18/1000</f>
        <v>0.057034497600000005</v>
      </c>
    </row>
    <row r="16" spans="1:22" ht="15.75">
      <c r="A16" s="158" t="s">
        <v>458</v>
      </c>
      <c r="B16" s="157" t="s">
        <v>395</v>
      </c>
      <c r="C16" s="166">
        <f>E16+F16</f>
        <v>483.3432</v>
      </c>
      <c r="D16" s="166"/>
      <c r="E16" s="166">
        <f>94.179*0.8</f>
        <v>75.34320000000001</v>
      </c>
      <c r="F16" s="166">
        <f>510*0.8</f>
        <v>408</v>
      </c>
      <c r="G16" s="166"/>
      <c r="H16" s="199">
        <v>2</v>
      </c>
      <c r="I16" s="199">
        <v>2</v>
      </c>
      <c r="J16" s="199">
        <v>1</v>
      </c>
      <c r="K16" s="199">
        <v>1</v>
      </c>
      <c r="L16" s="199">
        <v>1</v>
      </c>
      <c r="M16" s="199">
        <f>SUM(H16:L16)</f>
        <v>7</v>
      </c>
      <c r="N16" s="166">
        <f t="shared" si="1"/>
        <v>1.286090934580595</v>
      </c>
      <c r="O16" s="166">
        <f t="shared" si="1"/>
        <v>1.3480409344589008</v>
      </c>
      <c r="P16" s="166">
        <f t="shared" si="1"/>
        <v>0.7014021492411956</v>
      </c>
      <c r="Q16" s="166">
        <f t="shared" si="1"/>
        <v>0.7263988285355826</v>
      </c>
      <c r="R16" s="166">
        <f t="shared" si="1"/>
        <v>0.7522863433890281</v>
      </c>
      <c r="S16" s="166">
        <f>SUM(N16:R16)</f>
        <v>4.814219190205303</v>
      </c>
      <c r="T16" s="246">
        <f>M16*C16*1.18/1000</f>
        <v>3.992414832</v>
      </c>
      <c r="U16">
        <f>E16/C16</f>
        <v>0.1558793006708277</v>
      </c>
      <c r="V16">
        <f>1-U16</f>
        <v>0.8441206993291723</v>
      </c>
    </row>
    <row r="17" spans="1:20" ht="31.5">
      <c r="A17" s="164" t="s">
        <v>441</v>
      </c>
      <c r="B17" s="157"/>
      <c r="C17" s="162">
        <f>SUM(C18:C23)</f>
        <v>431.94548436559916</v>
      </c>
      <c r="D17" s="166"/>
      <c r="E17" s="166"/>
      <c r="F17" s="166"/>
      <c r="G17" s="166"/>
      <c r="H17" s="245"/>
      <c r="I17" s="199">
        <f>I19+I20+I21</f>
        <v>191</v>
      </c>
      <c r="J17" s="199">
        <f>J19+J20+J21</f>
        <v>220</v>
      </c>
      <c r="K17" s="199">
        <f>K19+K20+K21</f>
        <v>220</v>
      </c>
      <c r="L17" s="199">
        <f>L19+L20+L21</f>
        <v>226.76646706586828</v>
      </c>
      <c r="M17" s="199">
        <f>M19+M20+M21</f>
        <v>1068.7664670658683</v>
      </c>
      <c r="N17" s="162">
        <f aca="true" t="shared" si="2" ref="N17:T17">SUM(N18:N23)</f>
        <v>5.4367238481651885</v>
      </c>
      <c r="O17" s="162">
        <f t="shared" si="2"/>
        <v>5.185557784830564</v>
      </c>
      <c r="P17" s="162">
        <f t="shared" si="2"/>
        <v>6.1935059280080775</v>
      </c>
      <c r="Q17" s="162">
        <f t="shared" si="2"/>
        <v>6.414231059172547</v>
      </c>
      <c r="R17" s="162">
        <f t="shared" si="2"/>
        <v>6.842346476391879</v>
      </c>
      <c r="S17" s="162">
        <f t="shared" si="2"/>
        <v>30.07236509656826</v>
      </c>
      <c r="T17" s="162">
        <f t="shared" si="2"/>
        <v>24.364992102882177</v>
      </c>
    </row>
    <row r="18" spans="1:20" ht="15.75">
      <c r="A18" s="168" t="s">
        <v>26</v>
      </c>
      <c r="B18" s="157" t="s">
        <v>394</v>
      </c>
      <c r="C18" s="166">
        <f aca="true" t="shared" si="3" ref="C18:C23">D18+E18+F18+G18</f>
        <v>300</v>
      </c>
      <c r="D18" s="166">
        <v>300</v>
      </c>
      <c r="E18" s="166"/>
      <c r="F18" s="166"/>
      <c r="G18" s="166"/>
      <c r="H18" s="199">
        <v>1</v>
      </c>
      <c r="I18" s="199"/>
      <c r="J18" s="165"/>
      <c r="K18" s="199"/>
      <c r="L18" s="199"/>
      <c r="M18" s="199">
        <f>SUM(H18:L18)</f>
        <v>1</v>
      </c>
      <c r="N18" s="166">
        <f aca="true" t="shared" si="4" ref="N18:R23">H18*$C18*C$36/1000*1.18</f>
        <v>0.3991235217276032</v>
      </c>
      <c r="O18" s="166">
        <f t="shared" si="4"/>
        <v>0</v>
      </c>
      <c r="P18" s="166">
        <f t="shared" si="4"/>
        <v>0</v>
      </c>
      <c r="Q18" s="166">
        <f t="shared" si="4"/>
        <v>0</v>
      </c>
      <c r="R18" s="166">
        <f t="shared" si="4"/>
        <v>0</v>
      </c>
      <c r="S18" s="166">
        <f aca="true" t="shared" si="5" ref="S18:S23">SUM(N18:R18)</f>
        <v>0.3991235217276032</v>
      </c>
      <c r="T18" s="246">
        <f aca="true" t="shared" si="6" ref="T18:T23">M18*C18*1.18/1000</f>
        <v>0.354</v>
      </c>
    </row>
    <row r="19" spans="1:22" ht="31.5" hidden="1">
      <c r="A19" s="168" t="s">
        <v>438</v>
      </c>
      <c r="B19" s="157" t="s">
        <v>436</v>
      </c>
      <c r="C19" s="166"/>
      <c r="D19" s="166"/>
      <c r="E19" s="166"/>
      <c r="F19" s="166"/>
      <c r="G19" s="166"/>
      <c r="H19" s="199"/>
      <c r="I19" s="199"/>
      <c r="J19" s="165"/>
      <c r="K19" s="199"/>
      <c r="L19" s="199"/>
      <c r="M19" s="199">
        <f>SUM(H19:L19)</f>
        <v>0</v>
      </c>
      <c r="N19" s="166">
        <f t="shared" si="4"/>
        <v>0</v>
      </c>
      <c r="O19" s="166">
        <f t="shared" si="4"/>
        <v>0</v>
      </c>
      <c r="P19" s="166">
        <f t="shared" si="4"/>
        <v>0</v>
      </c>
      <c r="Q19" s="166">
        <f t="shared" si="4"/>
        <v>0</v>
      </c>
      <c r="R19" s="166">
        <f t="shared" si="4"/>
        <v>0</v>
      </c>
      <c r="S19" s="166">
        <f t="shared" si="5"/>
        <v>0</v>
      </c>
      <c r="T19" s="246">
        <f t="shared" si="6"/>
        <v>0</v>
      </c>
      <c r="U19" t="e">
        <f>E19/C19</f>
        <v>#DIV/0!</v>
      </c>
      <c r="V19" t="e">
        <f>1-U19</f>
        <v>#DIV/0!</v>
      </c>
    </row>
    <row r="20" spans="1:22" ht="31.5" hidden="1">
      <c r="A20" s="168" t="s">
        <v>439</v>
      </c>
      <c r="B20" s="157" t="s">
        <v>436</v>
      </c>
      <c r="C20" s="166">
        <f t="shared" si="3"/>
        <v>13</v>
      </c>
      <c r="D20" s="166"/>
      <c r="E20" s="166">
        <v>1.3</v>
      </c>
      <c r="F20" s="166">
        <v>11.7</v>
      </c>
      <c r="G20" s="166"/>
      <c r="H20" s="199"/>
      <c r="I20" s="199"/>
      <c r="J20" s="199"/>
      <c r="K20" s="199"/>
      <c r="L20" s="199"/>
      <c r="M20" s="199">
        <f>SUM(H20:L20)</f>
        <v>0</v>
      </c>
      <c r="N20" s="166">
        <f t="shared" si="4"/>
        <v>0</v>
      </c>
      <c r="O20" s="166">
        <f t="shared" si="4"/>
        <v>0</v>
      </c>
      <c r="P20" s="166">
        <f t="shared" si="4"/>
        <v>0</v>
      </c>
      <c r="Q20" s="166">
        <f t="shared" si="4"/>
        <v>0</v>
      </c>
      <c r="R20" s="166">
        <f t="shared" si="4"/>
        <v>0</v>
      </c>
      <c r="S20" s="166">
        <f t="shared" si="5"/>
        <v>0</v>
      </c>
      <c r="T20" s="246">
        <f t="shared" si="6"/>
        <v>0</v>
      </c>
      <c r="U20">
        <f>E20/C20</f>
        <v>0.1</v>
      </c>
      <c r="V20">
        <f>1-U20</f>
        <v>0.9</v>
      </c>
    </row>
    <row r="21" spans="1:22" ht="47.25">
      <c r="A21" s="168" t="s">
        <v>470</v>
      </c>
      <c r="B21" s="157" t="s">
        <v>436</v>
      </c>
      <c r="C21" s="166">
        <f t="shared" si="3"/>
        <v>17.94548436559914</v>
      </c>
      <c r="D21" s="166"/>
      <c r="E21" s="166">
        <f>13.9259362365702*0.7</f>
        <v>9.748155365599139</v>
      </c>
      <c r="F21" s="166">
        <f>11.71047*0.7</f>
        <v>8.197329</v>
      </c>
      <c r="G21" s="166"/>
      <c r="H21" s="199">
        <v>211</v>
      </c>
      <c r="I21" s="199">
        <v>191</v>
      </c>
      <c r="J21" s="199">
        <v>220</v>
      </c>
      <c r="K21" s="199">
        <v>220</v>
      </c>
      <c r="L21" s="199">
        <v>226.76646706586828</v>
      </c>
      <c r="M21" s="199">
        <f>SUM(H21:L21)</f>
        <v>1068.7664670658683</v>
      </c>
      <c r="N21" s="166">
        <f t="shared" si="4"/>
        <v>5.037600326437586</v>
      </c>
      <c r="O21" s="166">
        <f t="shared" si="4"/>
        <v>4.779759263275342</v>
      </c>
      <c r="P21" s="166">
        <f t="shared" si="4"/>
        <v>5.729138812142617</v>
      </c>
      <c r="Q21" s="166">
        <f t="shared" si="4"/>
        <v>5.93331475553698</v>
      </c>
      <c r="R21" s="166">
        <f t="shared" si="4"/>
        <v>6.333759719298506</v>
      </c>
      <c r="S21" s="166">
        <f t="shared" si="5"/>
        <v>27.813572876691033</v>
      </c>
      <c r="T21" s="246">
        <f t="shared" si="6"/>
        <v>22.631847671744453</v>
      </c>
      <c r="U21">
        <f>E21/C21</f>
        <v>0.5432093760749088</v>
      </c>
      <c r="V21">
        <f>1-U21</f>
        <v>0.4567906239250912</v>
      </c>
    </row>
    <row r="22" spans="1:20" ht="47.25">
      <c r="A22" s="168" t="s">
        <v>469</v>
      </c>
      <c r="B22" s="157" t="s">
        <v>434</v>
      </c>
      <c r="C22" s="166">
        <f t="shared" si="3"/>
        <v>100</v>
      </c>
      <c r="D22" s="166"/>
      <c r="E22" s="166"/>
      <c r="F22" s="166"/>
      <c r="G22" s="166">
        <v>100</v>
      </c>
      <c r="H22" s="245"/>
      <c r="I22" s="199">
        <v>1</v>
      </c>
      <c r="J22" s="199">
        <v>1</v>
      </c>
      <c r="K22" s="199">
        <v>1</v>
      </c>
      <c r="L22" s="199">
        <v>1</v>
      </c>
      <c r="M22" s="199">
        <v>1</v>
      </c>
      <c r="N22" s="166">
        <f t="shared" si="4"/>
        <v>0</v>
      </c>
      <c r="O22" s="166">
        <f t="shared" si="4"/>
        <v>0.13944966376468115</v>
      </c>
      <c r="P22" s="166">
        <f t="shared" si="4"/>
        <v>0.14511472370795647</v>
      </c>
      <c r="Q22" s="166">
        <f t="shared" si="4"/>
        <v>0.15028634488611456</v>
      </c>
      <c r="R22" s="166">
        <f t="shared" si="4"/>
        <v>0.1556422731071893</v>
      </c>
      <c r="S22" s="166">
        <f t="shared" si="5"/>
        <v>0.5904930054659414</v>
      </c>
      <c r="T22" s="246">
        <f t="shared" si="6"/>
        <v>0.118</v>
      </c>
    </row>
    <row r="23" spans="1:20" ht="31.5">
      <c r="A23" s="168" t="s">
        <v>433</v>
      </c>
      <c r="B23" s="157" t="s">
        <v>435</v>
      </c>
      <c r="C23" s="166">
        <f t="shared" si="3"/>
        <v>1</v>
      </c>
      <c r="D23" s="166"/>
      <c r="E23" s="166"/>
      <c r="F23" s="166"/>
      <c r="G23" s="166">
        <v>1</v>
      </c>
      <c r="H23" s="245"/>
      <c r="I23" s="199">
        <f>I21</f>
        <v>191</v>
      </c>
      <c r="J23" s="199">
        <f>J21</f>
        <v>220</v>
      </c>
      <c r="K23" s="199">
        <f>K21</f>
        <v>220</v>
      </c>
      <c r="L23" s="199">
        <f>L21</f>
        <v>226.76646706586828</v>
      </c>
      <c r="M23" s="199">
        <f>M21</f>
        <v>1068.7664670658683</v>
      </c>
      <c r="N23" s="166">
        <f t="shared" si="4"/>
        <v>0</v>
      </c>
      <c r="O23" s="166">
        <f t="shared" si="4"/>
        <v>0.266348857790541</v>
      </c>
      <c r="P23" s="166">
        <f t="shared" si="4"/>
        <v>0.31925239215750423</v>
      </c>
      <c r="Q23" s="166">
        <f t="shared" si="4"/>
        <v>0.33062995874945206</v>
      </c>
      <c r="R23" s="166">
        <f t="shared" si="4"/>
        <v>0.3529444839861832</v>
      </c>
      <c r="S23" s="166">
        <f t="shared" si="5"/>
        <v>1.2691756926836806</v>
      </c>
      <c r="T23" s="246">
        <f t="shared" si="6"/>
        <v>1.2611444311377245</v>
      </c>
    </row>
    <row r="24" spans="1:22" ht="15.75">
      <c r="A24" s="160" t="s">
        <v>308</v>
      </c>
      <c r="B24" s="160"/>
      <c r="C24" s="247"/>
      <c r="D24" s="247"/>
      <c r="E24" s="247"/>
      <c r="F24" s="247"/>
      <c r="G24" s="247"/>
      <c r="H24" s="247"/>
      <c r="I24" s="247"/>
      <c r="J24" s="161"/>
      <c r="K24" s="247"/>
      <c r="L24" s="247"/>
      <c r="M24" s="199">
        <f>SUM(H24:L24)</f>
        <v>0</v>
      </c>
      <c r="N24" s="162">
        <f>N14+N17</f>
        <v>6.787119329474813</v>
      </c>
      <c r="O24" s="162">
        <f aca="true" t="shared" si="7" ref="O24:T24">O14+O17</f>
        <v>6.533598719289465</v>
      </c>
      <c r="P24" s="162">
        <f t="shared" si="7"/>
        <v>6.894908077249273</v>
      </c>
      <c r="Q24" s="162">
        <f t="shared" si="7"/>
        <v>7.14062988770813</v>
      </c>
      <c r="R24" s="162">
        <f t="shared" si="7"/>
        <v>7.594632819780907</v>
      </c>
      <c r="S24" s="162">
        <f t="shared" si="7"/>
        <v>34.95088883350259</v>
      </c>
      <c r="T24" s="162">
        <f t="shared" si="7"/>
        <v>28.414441432482178</v>
      </c>
      <c r="U24" s="286">
        <f>T24*0.75</f>
        <v>21.310831074361634</v>
      </c>
      <c r="V24" s="287">
        <f>T24-U24</f>
        <v>7.1036103581205445</v>
      </c>
    </row>
    <row r="25" spans="1:7" ht="12.75">
      <c r="A25" s="130"/>
      <c r="B25" s="130"/>
      <c r="C25" s="130"/>
      <c r="D25" s="130"/>
      <c r="E25" s="130"/>
      <c r="F25" s="130"/>
      <c r="G25" s="130"/>
    </row>
    <row r="26" spans="1:7" ht="12.75">
      <c r="A26" s="130"/>
      <c r="B26" s="130"/>
      <c r="C26" s="130"/>
      <c r="D26" s="130"/>
      <c r="E26" s="69"/>
      <c r="F26" s="69"/>
      <c r="G26" s="69"/>
    </row>
    <row r="27" spans="1:20" ht="15.75">
      <c r="A27" s="130"/>
      <c r="B27" s="130"/>
      <c r="C27" s="130"/>
      <c r="D27" s="130"/>
      <c r="E27" s="131"/>
      <c r="F27" s="131"/>
      <c r="G27" s="131"/>
      <c r="J27" s="50"/>
      <c r="T27" s="132"/>
    </row>
    <row r="28" spans="1:8" ht="15.75">
      <c r="A28" s="86" t="s">
        <v>396</v>
      </c>
      <c r="B28" s="89"/>
      <c r="C28" s="89"/>
      <c r="D28" s="89"/>
      <c r="E28" s="89"/>
      <c r="F28" s="89"/>
      <c r="G28" s="89"/>
      <c r="H28" s="89"/>
    </row>
    <row r="29" spans="1:10" ht="15">
      <c r="A29" s="89"/>
      <c r="B29" s="89"/>
      <c r="C29" s="89"/>
      <c r="D29" s="89"/>
      <c r="E29" s="89"/>
      <c r="F29" s="89"/>
      <c r="G29" s="89"/>
      <c r="H29" s="89"/>
      <c r="I29" s="89"/>
      <c r="J29" s="128"/>
    </row>
    <row r="30" spans="1:20" ht="22.5" customHeight="1">
      <c r="A30" s="133" t="s">
        <v>197</v>
      </c>
      <c r="B30" s="173" t="s">
        <v>412</v>
      </c>
      <c r="C30" s="173" t="s">
        <v>413</v>
      </c>
      <c r="D30" s="173" t="s">
        <v>414</v>
      </c>
      <c r="E30" s="173" t="s">
        <v>415</v>
      </c>
      <c r="F30" s="173" t="s">
        <v>416</v>
      </c>
      <c r="G30" s="288" t="s">
        <v>437</v>
      </c>
      <c r="I30" s="127"/>
      <c r="J30" s="50"/>
      <c r="T30"/>
    </row>
    <row r="31" spans="1:20" ht="47.25">
      <c r="A31" s="134" t="s">
        <v>397</v>
      </c>
      <c r="B31" s="172">
        <v>106.32556511124196</v>
      </c>
      <c r="C31" s="172">
        <v>106.039180165382</v>
      </c>
      <c r="D31" s="172">
        <v>104.81692221075394</v>
      </c>
      <c r="E31" s="172">
        <v>104.06244073333515</v>
      </c>
      <c r="F31" s="172">
        <v>103.56381561154744</v>
      </c>
      <c r="G31" s="172">
        <v>103.56381561154744</v>
      </c>
      <c r="I31" s="127"/>
      <c r="J31" s="50"/>
      <c r="N31" s="127"/>
      <c r="O31" s="127"/>
      <c r="P31" s="127"/>
      <c r="Q31" s="127"/>
      <c r="R31" s="127"/>
      <c r="T31"/>
    </row>
    <row r="32" spans="1:7" ht="15">
      <c r="A32" s="89"/>
      <c r="B32" s="89"/>
      <c r="C32" s="89"/>
      <c r="D32" s="89"/>
      <c r="E32" s="89"/>
      <c r="F32" s="89"/>
      <c r="G32" s="89"/>
    </row>
    <row r="33" spans="1:8" ht="28.5" customHeight="1">
      <c r="A33" s="309" t="s">
        <v>417</v>
      </c>
      <c r="B33" s="310"/>
      <c r="C33" s="310"/>
      <c r="D33" s="310"/>
      <c r="E33" s="310"/>
      <c r="F33" s="310"/>
      <c r="G33" s="174"/>
      <c r="H33" s="174"/>
    </row>
    <row r="34" spans="1:8" ht="28.5" customHeight="1">
      <c r="A34" s="309" t="s">
        <v>418</v>
      </c>
      <c r="B34" s="310"/>
      <c r="C34" s="310"/>
      <c r="D34" s="310"/>
      <c r="E34" s="310"/>
      <c r="F34" s="310"/>
      <c r="G34" s="174"/>
      <c r="H34" s="174"/>
    </row>
    <row r="35" spans="1:7" ht="12.75">
      <c r="A35" s="50">
        <v>1</v>
      </c>
      <c r="B35" s="50">
        <v>1.0632556511124196</v>
      </c>
      <c r="C35" s="50">
        <v>1.06039180165382</v>
      </c>
      <c r="D35" s="50">
        <v>1.0481692221075394</v>
      </c>
      <c r="E35" s="50">
        <v>1.0406244073333515</v>
      </c>
      <c r="F35" s="50">
        <v>1.0356381561154744</v>
      </c>
      <c r="G35" s="172">
        <v>1.03563815611547</v>
      </c>
    </row>
    <row r="36" spans="2:7" ht="12.75">
      <c r="B36" s="50">
        <v>1.0632556511124196</v>
      </c>
      <c r="C36" s="50">
        <v>1.127467575501704</v>
      </c>
      <c r="D36" s="50">
        <v>1.1817768115650946</v>
      </c>
      <c r="E36" s="50">
        <v>1.2297857941352244</v>
      </c>
      <c r="F36" s="50">
        <v>1.2736130922552082</v>
      </c>
      <c r="G36" s="50">
        <f>F36*G35</f>
        <v>1.3190023144677059</v>
      </c>
    </row>
  </sheetData>
  <sheetProtection selectLockedCells="1" selectUnlockedCells="1"/>
  <mergeCells count="11">
    <mergeCell ref="F12:F13"/>
    <mergeCell ref="A34:F34"/>
    <mergeCell ref="G12:G13"/>
    <mergeCell ref="H12:M12"/>
    <mergeCell ref="N12:T12"/>
    <mergeCell ref="A33:F33"/>
    <mergeCell ref="A12:A13"/>
    <mergeCell ref="B12:B13"/>
    <mergeCell ref="C12:C13"/>
    <mergeCell ref="D12:D13"/>
    <mergeCell ref="E12:E13"/>
  </mergeCells>
  <printOptions/>
  <pageMargins left="0.3611111111111111" right="0.35138888888888886" top="0.425" bottom="0.29791666666666666" header="0.5118055555555555" footer="0.5118055555555555"/>
  <pageSetup fitToHeight="7" fitToWidth="1" horizontalDpi="300" verticalDpi="300" orientation="landscape" paperSize="9" scale="60" r:id="rId1"/>
  <rowBreaks count="1" manualBreakCount="1">
    <brk id="1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view="pageBreakPreview" zoomScaleNormal="50" zoomScaleSheetLayoutView="100" zoomScalePageLayoutView="0" workbookViewId="0" topLeftCell="A1">
      <selection activeCell="B41" sqref="B41"/>
    </sheetView>
  </sheetViews>
  <sheetFormatPr defaultColWidth="12.875" defaultRowHeight="12.75"/>
  <cols>
    <col min="1" max="1" width="26.875" style="135" customWidth="1"/>
    <col min="2" max="12" width="11.00390625" style="135" customWidth="1"/>
    <col min="13" max="13" width="8.375" style="135" customWidth="1"/>
    <col min="14" max="16384" width="12.875" style="135" customWidth="1"/>
  </cols>
  <sheetData>
    <row r="1" spans="1:13" s="140" customFormat="1" ht="15.75">
      <c r="A1" s="136"/>
      <c r="B1" s="137"/>
      <c r="C1" s="138"/>
      <c r="D1" s="138"/>
      <c r="E1" s="138"/>
      <c r="F1" s="138"/>
      <c r="G1" s="138"/>
      <c r="H1" s="138"/>
      <c r="I1" s="139" t="s">
        <v>0</v>
      </c>
      <c r="J1" s="139"/>
      <c r="K1" s="139"/>
      <c r="L1" s="138"/>
      <c r="M1" s="138"/>
    </row>
    <row r="2" spans="1:13" s="140" customFormat="1" ht="15.75">
      <c r="A2" s="136"/>
      <c r="B2" s="137"/>
      <c r="C2" s="138"/>
      <c r="D2" s="138"/>
      <c r="E2" s="138"/>
      <c r="F2" s="138"/>
      <c r="G2" s="138"/>
      <c r="H2" s="138"/>
      <c r="I2" s="139"/>
      <c r="J2" s="139"/>
      <c r="K2" s="139"/>
      <c r="L2" s="138"/>
      <c r="M2" s="138"/>
    </row>
    <row r="3" spans="1:13" s="140" customFormat="1" ht="15.75">
      <c r="A3" s="136"/>
      <c r="B3" s="137"/>
      <c r="C3" s="138"/>
      <c r="D3" s="138"/>
      <c r="E3" s="138"/>
      <c r="F3" s="138"/>
      <c r="G3" s="138"/>
      <c r="H3" s="138"/>
      <c r="I3" s="139" t="s">
        <v>1</v>
      </c>
      <c r="J3" s="139"/>
      <c r="K3" s="139"/>
      <c r="L3" s="138"/>
      <c r="M3" s="138"/>
    </row>
    <row r="4" spans="1:13" s="140" customFormat="1" ht="15.75">
      <c r="A4" s="136"/>
      <c r="B4" s="137"/>
      <c r="C4" s="138"/>
      <c r="D4" s="138"/>
      <c r="E4" s="138"/>
      <c r="F4" s="138"/>
      <c r="G4" s="138"/>
      <c r="H4" s="138"/>
      <c r="I4" s="139"/>
      <c r="J4" s="139"/>
      <c r="K4" s="139"/>
      <c r="L4" s="138"/>
      <c r="M4" s="138"/>
    </row>
    <row r="5" spans="1:13" s="140" customFormat="1" ht="15.75">
      <c r="A5" s="136"/>
      <c r="B5" s="137"/>
      <c r="C5" s="138"/>
      <c r="D5" s="138"/>
      <c r="E5" s="138"/>
      <c r="F5" s="138"/>
      <c r="G5" s="138"/>
      <c r="H5" s="138"/>
      <c r="I5" s="139"/>
      <c r="J5" s="139"/>
      <c r="K5" s="139"/>
      <c r="L5" s="138"/>
      <c r="M5" s="138"/>
    </row>
    <row r="6" spans="1:13" s="140" customFormat="1" ht="15.75">
      <c r="A6" s="136"/>
      <c r="B6" s="137"/>
      <c r="C6" s="138"/>
      <c r="D6" s="138"/>
      <c r="E6" s="138"/>
      <c r="F6" s="138"/>
      <c r="G6" s="138"/>
      <c r="H6" s="138"/>
      <c r="I6" s="139" t="s">
        <v>226</v>
      </c>
      <c r="J6" s="139"/>
      <c r="K6" s="139"/>
      <c r="L6" s="138"/>
      <c r="M6" s="138"/>
    </row>
    <row r="7" spans="1:13" s="140" customFormat="1" ht="15.75">
      <c r="A7" s="141"/>
      <c r="B7" s="137"/>
      <c r="C7" s="138"/>
      <c r="D7" s="138"/>
      <c r="E7" s="138"/>
      <c r="F7" s="138"/>
      <c r="G7" s="138"/>
      <c r="H7" s="138"/>
      <c r="I7" s="139"/>
      <c r="J7" s="139"/>
      <c r="K7" s="139"/>
      <c r="L7" s="138"/>
      <c r="M7" s="138"/>
    </row>
    <row r="8" spans="1:13" s="140" customFormat="1" ht="18.75">
      <c r="A8" s="136"/>
      <c r="B8" s="137"/>
      <c r="C8" s="138"/>
      <c r="D8" s="138"/>
      <c r="E8" s="138"/>
      <c r="F8" s="138"/>
      <c r="G8" s="138"/>
      <c r="H8" s="8" t="s">
        <v>420</v>
      </c>
      <c r="I8" s="139"/>
      <c r="J8" s="139"/>
      <c r="K8" s="139"/>
      <c r="L8" s="138"/>
      <c r="M8" s="138"/>
    </row>
    <row r="9" spans="1:13" s="140" customFormat="1" ht="15.75">
      <c r="A9" s="142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</row>
    <row r="10" spans="1:13" s="140" customFormat="1" ht="15.75">
      <c r="A10" s="142"/>
      <c r="B10" s="137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</row>
    <row r="11" spans="1:13" s="140" customFormat="1" ht="12.75">
      <c r="A11" s="137"/>
      <c r="B11" s="137"/>
      <c r="C11" s="143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3" s="140" customFormat="1" ht="12.75">
      <c r="A12" s="137"/>
      <c r="B12" s="137"/>
      <c r="C12" s="143"/>
      <c r="D12" s="138"/>
      <c r="E12" s="138"/>
      <c r="F12" s="138"/>
      <c r="G12" s="138"/>
      <c r="H12" s="138"/>
      <c r="I12" s="138"/>
      <c r="J12" s="138"/>
      <c r="K12" s="138"/>
      <c r="L12" s="138"/>
      <c r="M12" s="138"/>
    </row>
    <row r="13" spans="1:13" s="140" customFormat="1" ht="15.75">
      <c r="A13" s="142" t="s">
        <v>432</v>
      </c>
      <c r="B13" s="137"/>
      <c r="C13" s="143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s="140" customFormat="1" ht="12.75">
      <c r="A14" s="137"/>
      <c r="B14" s="137"/>
      <c r="C14" s="143"/>
      <c r="D14" s="138"/>
      <c r="E14" s="138"/>
      <c r="F14" s="138"/>
      <c r="G14" s="138"/>
      <c r="H14" s="138"/>
      <c r="I14" s="138"/>
      <c r="J14" s="138"/>
      <c r="K14" s="138"/>
      <c r="L14" s="138"/>
      <c r="M14" s="138"/>
    </row>
    <row r="15" spans="1:13" s="140" customFormat="1" ht="15.75">
      <c r="A15" s="142"/>
      <c r="B15" s="137"/>
      <c r="C15" s="144"/>
      <c r="D15" s="144"/>
      <c r="E15" s="144"/>
      <c r="F15" s="144"/>
      <c r="G15" s="144"/>
      <c r="H15" s="138"/>
      <c r="I15" s="138"/>
      <c r="J15" s="138"/>
      <c r="K15" s="138"/>
      <c r="L15" s="138"/>
      <c r="M15" s="138"/>
    </row>
    <row r="16" spans="1:13" s="140" customFormat="1" ht="15.75">
      <c r="A16" s="142"/>
      <c r="B16" s="137"/>
      <c r="C16" s="144"/>
      <c r="D16" s="144"/>
      <c r="E16" s="144"/>
      <c r="F16" s="144"/>
      <c r="G16" s="144"/>
      <c r="H16" s="138"/>
      <c r="I16" s="138"/>
      <c r="J16" s="138"/>
      <c r="K16" s="138"/>
      <c r="L16" s="138"/>
      <c r="M16" s="138"/>
    </row>
    <row r="17" spans="1:13" s="140" customFormat="1" ht="12.75">
      <c r="A17" s="137" t="s">
        <v>398</v>
      </c>
      <c r="B17" s="137"/>
      <c r="C17" s="143">
        <v>1.1</v>
      </c>
      <c r="D17" s="144"/>
      <c r="E17" s="144"/>
      <c r="F17" s="144"/>
      <c r="G17" s="144"/>
      <c r="H17" s="138"/>
      <c r="I17" s="138"/>
      <c r="J17" s="138"/>
      <c r="K17" s="138"/>
      <c r="L17" s="138"/>
      <c r="M17" s="138"/>
    </row>
    <row r="18" spans="1:13" s="140" customFormat="1" ht="12.75">
      <c r="A18" s="137"/>
      <c r="B18" s="137"/>
      <c r="C18" s="144"/>
      <c r="D18" s="144"/>
      <c r="E18" s="144"/>
      <c r="F18" s="144"/>
      <c r="G18" s="144"/>
      <c r="H18" s="138"/>
      <c r="I18" s="138"/>
      <c r="J18" s="138"/>
      <c r="K18" s="138"/>
      <c r="L18" s="138"/>
      <c r="M18" s="138"/>
    </row>
    <row r="19" spans="1:13" s="140" customFormat="1" ht="12.75">
      <c r="A19" s="248"/>
      <c r="B19" s="249">
        <v>2018</v>
      </c>
      <c r="C19" s="249">
        <v>2019</v>
      </c>
      <c r="D19" s="249">
        <v>2020</v>
      </c>
      <c r="E19" s="249">
        <v>2021</v>
      </c>
      <c r="F19" s="249">
        <v>2022</v>
      </c>
      <c r="G19" s="249">
        <v>2023</v>
      </c>
      <c r="H19" s="249">
        <v>2024</v>
      </c>
      <c r="I19" s="249">
        <v>2025</v>
      </c>
      <c r="J19" s="249">
        <v>2026</v>
      </c>
      <c r="K19" s="249">
        <v>2027</v>
      </c>
      <c r="L19" s="249">
        <v>2028</v>
      </c>
      <c r="M19" s="249">
        <v>2029</v>
      </c>
    </row>
    <row r="20" spans="1:13" s="140" customFormat="1" ht="12.75">
      <c r="A20" s="248" t="s">
        <v>399</v>
      </c>
      <c r="B20" s="250">
        <f>'сметная стоимость работ'!N17*-1</f>
        <v>-5.4367238481651885</v>
      </c>
      <c r="C20" s="250">
        <f>'сметная стоимость работ'!O17*-1</f>
        <v>-5.185557784830564</v>
      </c>
      <c r="D20" s="250">
        <f>'сметная стоимость работ'!P17*-1</f>
        <v>-6.1935059280080775</v>
      </c>
      <c r="E20" s="250">
        <f>'сметная стоимость работ'!Q17*-1</f>
        <v>-6.414231059172547</v>
      </c>
      <c r="F20" s="250">
        <f>'сметная стоимость работ'!R17*-1</f>
        <v>-6.842346476391879</v>
      </c>
      <c r="G20" s="250"/>
      <c r="H20" s="251"/>
      <c r="I20" s="251"/>
      <c r="J20" s="251"/>
      <c r="K20" s="251"/>
      <c r="L20" s="251"/>
      <c r="M20" s="251"/>
    </row>
    <row r="21" spans="1:13" s="140" customFormat="1" ht="12.75">
      <c r="A21" s="248" t="s">
        <v>400</v>
      </c>
      <c r="B21" s="250">
        <f>(B20-B20/1.18)*-1</f>
        <v>0.8293307564997745</v>
      </c>
      <c r="C21" s="250">
        <f>(C20-C20/1.18)*-1</f>
        <v>0.7910172892114415</v>
      </c>
      <c r="D21" s="250">
        <f>(D20-D20/1.18)*-1</f>
        <v>0.9447720907130961</v>
      </c>
      <c r="E21" s="250">
        <f>(E20-E20/1.18)*-1</f>
        <v>0.9784420259754727</v>
      </c>
      <c r="F21" s="250">
        <f>(F20-F20/1.18)*-1</f>
        <v>1.0437477675852014</v>
      </c>
      <c r="G21" s="251"/>
      <c r="H21" s="251"/>
      <c r="I21" s="251"/>
      <c r="J21" s="251"/>
      <c r="K21" s="251"/>
      <c r="L21" s="251"/>
      <c r="M21" s="251"/>
    </row>
    <row r="22" spans="1:19" s="140" customFormat="1" ht="12.75">
      <c r="A22" s="248" t="s">
        <v>401</v>
      </c>
      <c r="B22" s="248"/>
      <c r="C22" s="250">
        <v>0.6</v>
      </c>
      <c r="D22" s="250">
        <f>C22+0.6</f>
        <v>1.2</v>
      </c>
      <c r="E22" s="250">
        <f>D22+0.6</f>
        <v>1.7999999999999998</v>
      </c>
      <c r="F22" s="250">
        <f>E22+0.6</f>
        <v>2.4</v>
      </c>
      <c r="G22" s="250">
        <f>F22+0.6</f>
        <v>3</v>
      </c>
      <c r="H22" s="250">
        <f aca="true" t="shared" si="0" ref="H22:M22">G22</f>
        <v>3</v>
      </c>
      <c r="I22" s="250">
        <f t="shared" si="0"/>
        <v>3</v>
      </c>
      <c r="J22" s="250">
        <f t="shared" si="0"/>
        <v>3</v>
      </c>
      <c r="K22" s="250">
        <f t="shared" si="0"/>
        <v>3</v>
      </c>
      <c r="L22" s="250">
        <f t="shared" si="0"/>
        <v>3</v>
      </c>
      <c r="M22" s="250">
        <f t="shared" si="0"/>
        <v>3</v>
      </c>
      <c r="N22" s="145"/>
      <c r="O22" s="145"/>
      <c r="P22" s="145"/>
      <c r="Q22" s="145"/>
      <c r="R22" s="145"/>
      <c r="S22" s="145"/>
    </row>
    <row r="23" spans="1:19" s="140" customFormat="1" ht="25.5">
      <c r="A23" s="252" t="s">
        <v>402</v>
      </c>
      <c r="B23" s="252"/>
      <c r="C23" s="250">
        <f aca="true" t="shared" si="1" ref="C23:M23">C22*C24</f>
        <v>1.28496375</v>
      </c>
      <c r="D23" s="250">
        <f t="shared" si="1"/>
        <v>2.6598749624999996</v>
      </c>
      <c r="E23" s="250">
        <f t="shared" si="1"/>
        <v>4.129455879281249</v>
      </c>
      <c r="F23" s="250">
        <f t="shared" si="1"/>
        <v>5.698649113408123</v>
      </c>
      <c r="G23" s="250">
        <f t="shared" si="1"/>
        <v>7.372627290471759</v>
      </c>
      <c r="H23" s="250">
        <f t="shared" si="1"/>
        <v>7.63066924563827</v>
      </c>
      <c r="I23" s="250">
        <f t="shared" si="1"/>
        <v>7.89774266923561</v>
      </c>
      <c r="J23" s="250">
        <f t="shared" si="1"/>
        <v>8.174163662658856</v>
      </c>
      <c r="K23" s="250">
        <f t="shared" si="1"/>
        <v>8.460259390851915</v>
      </c>
      <c r="L23" s="250">
        <f t="shared" si="1"/>
        <v>8.756368469531731</v>
      </c>
      <c r="M23" s="250">
        <f t="shared" si="1"/>
        <v>9.06284136596534</v>
      </c>
      <c r="N23" s="145"/>
      <c r="O23" s="145"/>
      <c r="P23" s="145"/>
      <c r="Q23" s="145"/>
      <c r="R23" s="145"/>
      <c r="S23" s="145"/>
    </row>
    <row r="24" spans="1:19" s="140" customFormat="1" ht="25.5">
      <c r="A24" s="252" t="s">
        <v>403</v>
      </c>
      <c r="B24" s="252"/>
      <c r="C24" s="253">
        <f>1.85*1.05*1.05*1.05</f>
        <v>2.14160625</v>
      </c>
      <c r="D24" s="253">
        <f>C24*1.035</f>
        <v>2.21656246875</v>
      </c>
      <c r="E24" s="253">
        <f aca="true" t="shared" si="2" ref="E24:M24">D24*1.035</f>
        <v>2.2941421551562495</v>
      </c>
      <c r="F24" s="253">
        <f t="shared" si="2"/>
        <v>2.3744371305867182</v>
      </c>
      <c r="G24" s="253">
        <f t="shared" si="2"/>
        <v>2.457542430157253</v>
      </c>
      <c r="H24" s="253">
        <f t="shared" si="2"/>
        <v>2.5435564152127568</v>
      </c>
      <c r="I24" s="253">
        <f t="shared" si="2"/>
        <v>2.632580889745203</v>
      </c>
      <c r="J24" s="253">
        <f t="shared" si="2"/>
        <v>2.724721220886285</v>
      </c>
      <c r="K24" s="253">
        <f t="shared" si="2"/>
        <v>2.820086463617305</v>
      </c>
      <c r="L24" s="253">
        <f t="shared" si="2"/>
        <v>2.91878948984391</v>
      </c>
      <c r="M24" s="253">
        <f t="shared" si="2"/>
        <v>3.020947121988447</v>
      </c>
      <c r="N24" s="146"/>
      <c r="O24" s="146"/>
      <c r="P24" s="146"/>
      <c r="Q24" s="146"/>
      <c r="R24" s="146"/>
      <c r="S24" s="146"/>
    </row>
    <row r="25" spans="1:19" s="140" customFormat="1" ht="12.75">
      <c r="A25" s="252" t="s">
        <v>398</v>
      </c>
      <c r="B25" s="254">
        <v>1</v>
      </c>
      <c r="C25" s="250">
        <f aca="true" t="shared" si="3" ref="C25:M25">POWER($C17,C26)</f>
        <v>0.9090909090909091</v>
      </c>
      <c r="D25" s="250">
        <f t="shared" si="3"/>
        <v>0.8264462809917354</v>
      </c>
      <c r="E25" s="250">
        <f t="shared" si="3"/>
        <v>0.7513148009015775</v>
      </c>
      <c r="F25" s="250">
        <f t="shared" si="3"/>
        <v>0.6830134553650705</v>
      </c>
      <c r="G25" s="250">
        <f t="shared" si="3"/>
        <v>0.6209213230591549</v>
      </c>
      <c r="H25" s="250">
        <f t="shared" si="3"/>
        <v>0.5644739300537772</v>
      </c>
      <c r="I25" s="250">
        <f t="shared" si="3"/>
        <v>0.5131581182307065</v>
      </c>
      <c r="J25" s="250">
        <f t="shared" si="3"/>
        <v>0.46650738020973315</v>
      </c>
      <c r="K25" s="250">
        <f t="shared" si="3"/>
        <v>0.42409761837248466</v>
      </c>
      <c r="L25" s="250">
        <f t="shared" si="3"/>
        <v>0.3855432894295315</v>
      </c>
      <c r="M25" s="250">
        <f t="shared" si="3"/>
        <v>0.3504938994813922</v>
      </c>
      <c r="N25" s="147"/>
      <c r="O25" s="147"/>
      <c r="P25" s="147"/>
      <c r="Q25" s="147"/>
      <c r="R25" s="147"/>
      <c r="S25" s="147"/>
    </row>
    <row r="26" spans="1:19" s="149" customFormat="1" ht="12.75">
      <c r="A26" s="255"/>
      <c r="B26" s="255"/>
      <c r="C26" s="256">
        <v>-1</v>
      </c>
      <c r="D26" s="256">
        <v>-2</v>
      </c>
      <c r="E26" s="256">
        <v>-3</v>
      </c>
      <c r="F26" s="256">
        <v>-4</v>
      </c>
      <c r="G26" s="256">
        <v>-5</v>
      </c>
      <c r="H26" s="256">
        <v>-6</v>
      </c>
      <c r="I26" s="256">
        <v>-7</v>
      </c>
      <c r="J26" s="256">
        <v>-8</v>
      </c>
      <c r="K26" s="256">
        <v>-9</v>
      </c>
      <c r="L26" s="256">
        <v>-10</v>
      </c>
      <c r="M26" s="256">
        <v>-11</v>
      </c>
      <c r="N26" s="148"/>
      <c r="O26" s="148"/>
      <c r="P26" s="148"/>
      <c r="Q26" s="148"/>
      <c r="R26" s="148"/>
      <c r="S26" s="148"/>
    </row>
    <row r="27" spans="1:24" s="151" customFormat="1" ht="12.75">
      <c r="A27" s="257" t="s">
        <v>404</v>
      </c>
      <c r="B27" s="258">
        <f aca="true" t="shared" si="4" ref="B27:M27">B23</f>
        <v>0</v>
      </c>
      <c r="C27" s="258">
        <f t="shared" si="4"/>
        <v>1.28496375</v>
      </c>
      <c r="D27" s="258">
        <f t="shared" si="4"/>
        <v>2.6598749624999996</v>
      </c>
      <c r="E27" s="258">
        <f t="shared" si="4"/>
        <v>4.129455879281249</v>
      </c>
      <c r="F27" s="258">
        <f t="shared" si="4"/>
        <v>5.698649113408123</v>
      </c>
      <c r="G27" s="258">
        <f t="shared" si="4"/>
        <v>7.372627290471759</v>
      </c>
      <c r="H27" s="258">
        <f t="shared" si="4"/>
        <v>7.63066924563827</v>
      </c>
      <c r="I27" s="258">
        <f t="shared" si="4"/>
        <v>7.89774266923561</v>
      </c>
      <c r="J27" s="258">
        <f t="shared" si="4"/>
        <v>8.174163662658856</v>
      </c>
      <c r="K27" s="258">
        <f t="shared" si="4"/>
        <v>8.460259390851915</v>
      </c>
      <c r="L27" s="258">
        <f t="shared" si="4"/>
        <v>8.756368469531731</v>
      </c>
      <c r="M27" s="258">
        <f t="shared" si="4"/>
        <v>9.06284136596534</v>
      </c>
      <c r="N27" s="150"/>
      <c r="O27" s="150"/>
      <c r="P27" s="150"/>
      <c r="Q27" s="150"/>
      <c r="R27" s="150"/>
      <c r="S27" s="150"/>
      <c r="T27" s="146"/>
      <c r="U27" s="146"/>
      <c r="V27" s="146"/>
      <c r="W27" s="146"/>
      <c r="X27" s="146"/>
    </row>
    <row r="28" spans="1:24" s="151" customFormat="1" ht="12.75">
      <c r="A28" s="259" t="s">
        <v>405</v>
      </c>
      <c r="B28" s="258">
        <f>B20+B21</f>
        <v>-4.607393091665414</v>
      </c>
      <c r="C28" s="258">
        <f>C20+C21</f>
        <v>-4.394540495619123</v>
      </c>
      <c r="D28" s="258">
        <f>D20+D21</f>
        <v>-5.248733837294981</v>
      </c>
      <c r="E28" s="258">
        <f>E20+E21</f>
        <v>-5.435789033197074</v>
      </c>
      <c r="F28" s="258">
        <f>F20+F21</f>
        <v>-5.7985987088066775</v>
      </c>
      <c r="G28" s="258"/>
      <c r="H28" s="258"/>
      <c r="I28" s="258"/>
      <c r="J28" s="258"/>
      <c r="K28" s="258"/>
      <c r="L28" s="258"/>
      <c r="M28" s="258"/>
      <c r="N28" s="150"/>
      <c r="O28" s="150"/>
      <c r="P28" s="150"/>
      <c r="Q28" s="150"/>
      <c r="R28" s="150"/>
      <c r="S28" s="150"/>
      <c r="T28" s="146"/>
      <c r="U28" s="146"/>
      <c r="V28" s="146"/>
      <c r="W28" s="146"/>
      <c r="X28" s="146"/>
    </row>
    <row r="29" spans="1:24" s="151" customFormat="1" ht="12.75">
      <c r="A29" s="259" t="s">
        <v>406</v>
      </c>
      <c r="B29" s="258">
        <f aca="true" t="shared" si="5" ref="B29:M29">B23*B25</f>
        <v>0</v>
      </c>
      <c r="C29" s="258">
        <f t="shared" si="5"/>
        <v>1.1681488636363635</v>
      </c>
      <c r="D29" s="258">
        <f t="shared" si="5"/>
        <v>2.1982437706611564</v>
      </c>
      <c r="E29" s="258">
        <f t="shared" si="5"/>
        <v>3.10252132177404</v>
      </c>
      <c r="F29" s="258">
        <f t="shared" si="5"/>
        <v>3.892254021861978</v>
      </c>
      <c r="G29" s="258">
        <f t="shared" si="5"/>
        <v>4.577821491621757</v>
      </c>
      <c r="H29" s="258">
        <f t="shared" si="5"/>
        <v>4.307313858025926</v>
      </c>
      <c r="I29" s="258">
        <f t="shared" si="5"/>
        <v>4.052790766415303</v>
      </c>
      <c r="J29" s="258">
        <f t="shared" si="5"/>
        <v>3.8133076756725797</v>
      </c>
      <c r="K29" s="258">
        <f t="shared" si="5"/>
        <v>3.587975858473745</v>
      </c>
      <c r="L29" s="258">
        <f t="shared" si="5"/>
        <v>3.375959103200296</v>
      </c>
      <c r="M29" s="258">
        <f t="shared" si="5"/>
        <v>3.176470610738459</v>
      </c>
      <c r="N29" s="150"/>
      <c r="O29" s="150"/>
      <c r="P29" s="150"/>
      <c r="Q29" s="150"/>
      <c r="R29" s="150"/>
      <c r="S29" s="150"/>
      <c r="T29" s="146"/>
      <c r="U29" s="146"/>
      <c r="V29" s="146"/>
      <c r="W29" s="146"/>
      <c r="X29" s="146"/>
    </row>
    <row r="30" spans="1:24" s="151" customFormat="1" ht="12.75">
      <c r="A30" s="259" t="s">
        <v>407</v>
      </c>
      <c r="B30" s="258">
        <f>B28*B25</f>
        <v>-4.607393091665414</v>
      </c>
      <c r="C30" s="258">
        <f>C28*C25</f>
        <v>-3.9950368141992025</v>
      </c>
      <c r="D30" s="258">
        <f>D28*D25</f>
        <v>-4.337796559747918</v>
      </c>
      <c r="E30" s="258">
        <f>E28*E25</f>
        <v>-4.083988755219439</v>
      </c>
      <c r="F30" s="258">
        <f>F28*F25</f>
        <v>-3.960520940377485</v>
      </c>
      <c r="G30" s="258"/>
      <c r="H30" s="258"/>
      <c r="I30" s="258"/>
      <c r="J30" s="258"/>
      <c r="K30" s="258"/>
      <c r="L30" s="258"/>
      <c r="M30" s="258"/>
      <c r="N30" s="150"/>
      <c r="O30" s="150"/>
      <c r="P30" s="150"/>
      <c r="Q30" s="150"/>
      <c r="R30" s="150"/>
      <c r="S30" s="150"/>
      <c r="T30" s="146"/>
      <c r="U30" s="146"/>
      <c r="V30" s="146"/>
      <c r="W30" s="146"/>
      <c r="X30" s="146"/>
    </row>
    <row r="31" ht="12.75">
      <c r="A31" s="67"/>
    </row>
    <row r="32" spans="1:12" ht="18" customHeight="1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</row>
    <row r="33" spans="1:12" ht="12.75">
      <c r="A33" s="153"/>
      <c r="B33" s="260">
        <f aca="true" t="shared" si="6" ref="B33:L33">(B27+B28)*1000000</f>
        <v>-4607393.091665414</v>
      </c>
      <c r="C33" s="260">
        <f t="shared" si="6"/>
        <v>-3109576.7456191224</v>
      </c>
      <c r="D33" s="260">
        <f t="shared" si="6"/>
        <v>-2588858.874794982</v>
      </c>
      <c r="E33" s="260">
        <f t="shared" si="6"/>
        <v>-1306333.1539158253</v>
      </c>
      <c r="F33" s="260">
        <f t="shared" si="6"/>
        <v>-99949.59539855408</v>
      </c>
      <c r="G33" s="260">
        <f t="shared" si="6"/>
        <v>7372627.290471759</v>
      </c>
      <c r="H33" s="260">
        <f t="shared" si="6"/>
        <v>7630669.24563827</v>
      </c>
      <c r="I33" s="260">
        <f t="shared" si="6"/>
        <v>7897742.66923561</v>
      </c>
      <c r="J33" s="260">
        <f t="shared" si="6"/>
        <v>8174163.662658856</v>
      </c>
      <c r="K33" s="260">
        <f t="shared" si="6"/>
        <v>8460259.390851915</v>
      </c>
      <c r="L33" s="260">
        <f t="shared" si="6"/>
        <v>8756368.469531732</v>
      </c>
    </row>
    <row r="34" spans="1:12" ht="12.75">
      <c r="A34" s="153"/>
      <c r="B34" s="260">
        <f aca="true" t="shared" si="7" ref="B34:L34">(B29+B30)*1000000</f>
        <v>-4607393.091665414</v>
      </c>
      <c r="C34" s="260">
        <f t="shared" si="7"/>
        <v>-2826887.9505628394</v>
      </c>
      <c r="D34" s="260">
        <f t="shared" si="7"/>
        <v>-2139552.789086762</v>
      </c>
      <c r="E34" s="260">
        <f t="shared" si="7"/>
        <v>-981467.4334453986</v>
      </c>
      <c r="F34" s="260">
        <f t="shared" si="7"/>
        <v>-68266.91851550715</v>
      </c>
      <c r="G34" s="260">
        <f t="shared" si="7"/>
        <v>4577821.491621757</v>
      </c>
      <c r="H34" s="260">
        <f t="shared" si="7"/>
        <v>4307313.858025925</v>
      </c>
      <c r="I34" s="260">
        <f t="shared" si="7"/>
        <v>4052790.7664153026</v>
      </c>
      <c r="J34" s="260">
        <f t="shared" si="7"/>
        <v>3813307.6756725796</v>
      </c>
      <c r="K34" s="260">
        <f t="shared" si="7"/>
        <v>3587975.858473745</v>
      </c>
      <c r="L34" s="260">
        <f t="shared" si="7"/>
        <v>3375959.103200296</v>
      </c>
    </row>
    <row r="35" spans="1:13" ht="12.75" customHeight="1">
      <c r="A35" s="261"/>
      <c r="B35" s="224">
        <v>0</v>
      </c>
      <c r="C35" s="224">
        <v>1</v>
      </c>
      <c r="D35" s="224">
        <v>2</v>
      </c>
      <c r="E35" s="224">
        <v>3</v>
      </c>
      <c r="F35" s="224">
        <v>4</v>
      </c>
      <c r="G35" s="224">
        <v>5</v>
      </c>
      <c r="H35" s="224">
        <v>6</v>
      </c>
      <c r="I35" s="224">
        <v>7</v>
      </c>
      <c r="J35" s="224">
        <v>8</v>
      </c>
      <c r="K35" s="224">
        <v>9</v>
      </c>
      <c r="L35" s="224">
        <v>10</v>
      </c>
      <c r="M35" s="35"/>
    </row>
    <row r="36" spans="1:13" ht="12.75">
      <c r="A36" s="262" t="s">
        <v>408</v>
      </c>
      <c r="B36" s="260">
        <f>B33</f>
        <v>-4607393.091665414</v>
      </c>
      <c r="C36" s="260">
        <f aca="true" t="shared" si="8" ref="C36:L36">B36+C33</f>
        <v>-7716969.837284537</v>
      </c>
      <c r="D36" s="260">
        <f t="shared" si="8"/>
        <v>-10305828.71207952</v>
      </c>
      <c r="E36" s="260">
        <f t="shared" si="8"/>
        <v>-11612161.865995344</v>
      </c>
      <c r="F36" s="260">
        <f t="shared" si="8"/>
        <v>-11712111.461393898</v>
      </c>
      <c r="G36" s="260">
        <f t="shared" si="8"/>
        <v>-4339484.17092214</v>
      </c>
      <c r="H36" s="260">
        <f t="shared" si="8"/>
        <v>3291185.0747161303</v>
      </c>
      <c r="I36" s="260">
        <f t="shared" si="8"/>
        <v>11188927.743951742</v>
      </c>
      <c r="J36" s="260">
        <f t="shared" si="8"/>
        <v>19363091.406610597</v>
      </c>
      <c r="K36" s="260">
        <f t="shared" si="8"/>
        <v>27823350.79746251</v>
      </c>
      <c r="L36" s="260">
        <f t="shared" si="8"/>
        <v>36579719.266994245</v>
      </c>
      <c r="M36" s="154"/>
    </row>
    <row r="37" spans="1:13" ht="12.75">
      <c r="A37" s="262" t="s">
        <v>409</v>
      </c>
      <c r="B37" s="260">
        <f>B34</f>
        <v>-4607393.091665414</v>
      </c>
      <c r="C37" s="260">
        <f aca="true" t="shared" si="9" ref="C37:L37">B37+C34</f>
        <v>-7434281.042228254</v>
      </c>
      <c r="D37" s="260">
        <f t="shared" si="9"/>
        <v>-9573833.831315015</v>
      </c>
      <c r="E37" s="260">
        <f t="shared" si="9"/>
        <v>-10555301.264760412</v>
      </c>
      <c r="F37" s="260">
        <f t="shared" si="9"/>
        <v>-10623568.18327592</v>
      </c>
      <c r="G37" s="260">
        <f t="shared" si="9"/>
        <v>-6045746.6916541625</v>
      </c>
      <c r="H37" s="260">
        <f t="shared" si="9"/>
        <v>-1738432.8336282372</v>
      </c>
      <c r="I37" s="260">
        <f t="shared" si="9"/>
        <v>2314357.9327870654</v>
      </c>
      <c r="J37" s="260">
        <f t="shared" si="9"/>
        <v>6127665.608459645</v>
      </c>
      <c r="K37" s="260">
        <f t="shared" si="9"/>
        <v>9715641.46693339</v>
      </c>
      <c r="L37" s="260">
        <f t="shared" si="9"/>
        <v>13091600.570133686</v>
      </c>
      <c r="M37" s="154"/>
    </row>
    <row r="38" spans="1:12" ht="12.75">
      <c r="A38" s="155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</row>
    <row r="39" spans="1:4" ht="32.25" customHeight="1">
      <c r="A39" s="263" t="s">
        <v>100</v>
      </c>
      <c r="B39" s="312" t="s">
        <v>101</v>
      </c>
      <c r="C39" s="312"/>
      <c r="D39" s="153"/>
    </row>
    <row r="40" spans="1:4" ht="38.25">
      <c r="A40" s="263" t="s">
        <v>102</v>
      </c>
      <c r="B40" s="263" t="s">
        <v>103</v>
      </c>
      <c r="C40" s="263" t="s">
        <v>104</v>
      </c>
      <c r="D40" s="153"/>
    </row>
    <row r="41" spans="1:4" ht="12.75">
      <c r="A41" s="264">
        <f>SUM(B30:F30)+SUM(C29:M29)</f>
        <v>16.268071180872138</v>
      </c>
      <c r="B41" s="224">
        <v>4</v>
      </c>
      <c r="C41" s="224">
        <v>4.5</v>
      </c>
      <c r="D41" s="153"/>
    </row>
    <row r="43" spans="1:2" ht="12.75">
      <c r="A43" s="224" t="s">
        <v>167</v>
      </c>
      <c r="B43" s="265">
        <v>0.41</v>
      </c>
    </row>
  </sheetData>
  <sheetProtection selectLockedCells="1" selectUnlockedCells="1"/>
  <mergeCells count="1">
    <mergeCell ref="B39:C39"/>
  </mergeCells>
  <printOptions/>
  <pageMargins left="0.3611111111111111" right="0.28888888888888886" top="0.7875" bottom="0.3548611111111111" header="0.5118055555555555" footer="0.5118055555555555"/>
  <pageSetup fitToHeight="1" fitToWidth="1" horizontalDpi="300" verticalDpi="300" orientation="landscape" paperSize="9" scale="76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view="pageBreakPreview" zoomScale="70" zoomScaleNormal="50" zoomScaleSheetLayoutView="70" zoomScalePageLayoutView="0" workbookViewId="0" topLeftCell="G100">
      <selection activeCell="AB1" sqref="AB1:AE2"/>
    </sheetView>
  </sheetViews>
  <sheetFormatPr defaultColWidth="1.00390625" defaultRowHeight="12.75"/>
  <cols>
    <col min="1" max="1" width="5.875" style="2" customWidth="1"/>
    <col min="2" max="2" width="20.75390625" style="2" customWidth="1"/>
    <col min="3" max="6" width="0" style="2" hidden="1" customWidth="1"/>
    <col min="7" max="8" width="12.25390625" style="2" customWidth="1"/>
    <col min="9" max="10" width="10.625" style="2" customWidth="1"/>
    <col min="11" max="11" width="12.00390625" style="2" customWidth="1"/>
    <col min="12" max="12" width="10.625" style="2" customWidth="1"/>
    <col min="13" max="13" width="11.375" style="2" customWidth="1"/>
    <col min="14" max="21" width="10.625" style="2" customWidth="1"/>
    <col min="22" max="25" width="0" style="2" hidden="1" customWidth="1"/>
    <col min="26" max="26" width="5.75390625" style="2" customWidth="1"/>
    <col min="27" max="31" width="10.625" style="2" customWidth="1"/>
    <col min="32" max="33" width="5.75390625" style="2" customWidth="1"/>
    <col min="34" max="35" width="10.75390625" style="2" customWidth="1"/>
    <col min="36" max="16384" width="1.00390625" style="1" customWidth="1"/>
  </cols>
  <sheetData>
    <row r="1" spans="1:35" s="35" customFormat="1" ht="57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295"/>
      <c r="AC1" s="296"/>
      <c r="AD1" s="296"/>
      <c r="AE1" s="296"/>
      <c r="AI1" s="266"/>
    </row>
    <row r="2" spans="1:35" s="3" customFormat="1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296"/>
      <c r="AC2" s="296"/>
      <c r="AD2" s="296"/>
      <c r="AE2" s="296"/>
      <c r="AI2" s="12"/>
    </row>
    <row r="3" spans="1:35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9" t="s">
        <v>0</v>
      </c>
      <c r="AC3" s="9"/>
      <c r="AD3" s="9"/>
      <c r="AE3" s="10"/>
      <c r="AI3" s="9"/>
    </row>
    <row r="4" spans="1:35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9"/>
      <c r="AC4" s="9"/>
      <c r="AD4" s="9"/>
      <c r="AE4" s="12"/>
      <c r="AI4" s="16"/>
    </row>
    <row r="5" spans="1:35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9" t="s">
        <v>1</v>
      </c>
      <c r="AC5" s="9"/>
      <c r="AD5" s="9"/>
      <c r="AE5" s="14"/>
      <c r="AI5" s="13"/>
    </row>
    <row r="6" spans="1:35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9"/>
      <c r="AC6" s="9"/>
      <c r="AD6" s="9"/>
      <c r="AE6" s="16"/>
      <c r="AI6" s="17"/>
    </row>
    <row r="7" spans="1:35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9" t="s">
        <v>2</v>
      </c>
      <c r="AC7" s="9"/>
      <c r="AD7" s="9"/>
      <c r="AE7" s="16"/>
      <c r="AI7" s="9"/>
    </row>
    <row r="8" spans="1:35" ht="18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9"/>
      <c r="AC8" s="9"/>
      <c r="AD8" s="9"/>
      <c r="AE8" s="16"/>
      <c r="AI8" s="9"/>
    </row>
    <row r="9" spans="1:35" ht="18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9" t="s">
        <v>420</v>
      </c>
      <c r="AC9" s="9"/>
      <c r="AD9" s="9"/>
      <c r="AE9" s="16"/>
      <c r="AI9" s="9"/>
    </row>
    <row r="10" spans="1:35" ht="15.75">
      <c r="A10" s="21" t="s">
        <v>426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6" s="39" customFormat="1" ht="29.25" customHeight="1">
      <c r="A11" s="292" t="s">
        <v>4</v>
      </c>
      <c r="B11" s="292" t="s">
        <v>41</v>
      </c>
      <c r="C11" s="292" t="s">
        <v>42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 t="s">
        <v>43</v>
      </c>
      <c r="R11" s="292"/>
      <c r="S11" s="292"/>
      <c r="T11" s="292"/>
      <c r="U11" s="292"/>
      <c r="V11" s="292" t="s">
        <v>44</v>
      </c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175"/>
    </row>
    <row r="12" spans="1:36" s="39" customFormat="1" ht="44.25" customHeight="1">
      <c r="A12" s="292"/>
      <c r="B12" s="292"/>
      <c r="C12" s="292" t="s">
        <v>45</v>
      </c>
      <c r="D12" s="292"/>
      <c r="E12" s="292"/>
      <c r="F12" s="292"/>
      <c r="G12" s="292" t="s">
        <v>46</v>
      </c>
      <c r="H12" s="292"/>
      <c r="I12" s="292"/>
      <c r="J12" s="292"/>
      <c r="K12" s="292" t="s">
        <v>47</v>
      </c>
      <c r="L12" s="292"/>
      <c r="M12" s="292"/>
      <c r="N12" s="292"/>
      <c r="O12" s="292"/>
      <c r="P12" s="156" t="s">
        <v>48</v>
      </c>
      <c r="Q12" s="292"/>
      <c r="R12" s="292"/>
      <c r="S12" s="292"/>
      <c r="T12" s="292"/>
      <c r="U12" s="292"/>
      <c r="V12" s="292" t="s">
        <v>45</v>
      </c>
      <c r="W12" s="292"/>
      <c r="X12" s="292"/>
      <c r="Y12" s="292"/>
      <c r="Z12" s="292" t="s">
        <v>46</v>
      </c>
      <c r="AA12" s="292"/>
      <c r="AB12" s="292"/>
      <c r="AC12" s="292"/>
      <c r="AD12" s="292" t="s">
        <v>47</v>
      </c>
      <c r="AE12" s="292"/>
      <c r="AF12" s="292"/>
      <c r="AG12" s="292"/>
      <c r="AH12" s="292"/>
      <c r="AI12" s="156" t="s">
        <v>48</v>
      </c>
      <c r="AJ12" s="175"/>
    </row>
    <row r="13" spans="1:36" s="40" customFormat="1" ht="126.75" customHeight="1">
      <c r="A13" s="156"/>
      <c r="B13" s="156" t="s">
        <v>19</v>
      </c>
      <c r="C13" s="158" t="s">
        <v>49</v>
      </c>
      <c r="D13" s="158" t="s">
        <v>50</v>
      </c>
      <c r="E13" s="158" t="s">
        <v>51</v>
      </c>
      <c r="F13" s="158" t="s">
        <v>52</v>
      </c>
      <c r="G13" s="158" t="s">
        <v>49</v>
      </c>
      <c r="H13" s="158" t="s">
        <v>50</v>
      </c>
      <c r="I13" s="158" t="s">
        <v>53</v>
      </c>
      <c r="J13" s="158" t="s">
        <v>54</v>
      </c>
      <c r="K13" s="158" t="s">
        <v>49</v>
      </c>
      <c r="L13" s="158" t="s">
        <v>50</v>
      </c>
      <c r="M13" s="158" t="s">
        <v>55</v>
      </c>
      <c r="N13" s="158" t="s">
        <v>56</v>
      </c>
      <c r="O13" s="158" t="s">
        <v>57</v>
      </c>
      <c r="P13" s="158"/>
      <c r="Q13" s="158" t="s">
        <v>58</v>
      </c>
      <c r="R13" s="158" t="s">
        <v>26</v>
      </c>
      <c r="S13" s="158" t="s">
        <v>27</v>
      </c>
      <c r="T13" s="158" t="s">
        <v>59</v>
      </c>
      <c r="U13" s="158" t="s">
        <v>60</v>
      </c>
      <c r="V13" s="158" t="s">
        <v>49</v>
      </c>
      <c r="W13" s="158" t="s">
        <v>50</v>
      </c>
      <c r="X13" s="158" t="s">
        <v>51</v>
      </c>
      <c r="Y13" s="158" t="s">
        <v>52</v>
      </c>
      <c r="Z13" s="158" t="s">
        <v>49</v>
      </c>
      <c r="AA13" s="158" t="s">
        <v>50</v>
      </c>
      <c r="AB13" s="158" t="s">
        <v>53</v>
      </c>
      <c r="AC13" s="158" t="s">
        <v>54</v>
      </c>
      <c r="AD13" s="158" t="s">
        <v>49</v>
      </c>
      <c r="AE13" s="158" t="s">
        <v>50</v>
      </c>
      <c r="AF13" s="158" t="s">
        <v>55</v>
      </c>
      <c r="AG13" s="158" t="s">
        <v>56</v>
      </c>
      <c r="AH13" s="158" t="s">
        <v>57</v>
      </c>
      <c r="AI13" s="158"/>
      <c r="AJ13" s="176"/>
    </row>
    <row r="14" spans="1:36" s="41" customFormat="1" ht="47.25" customHeight="1">
      <c r="A14" s="159" t="s">
        <v>20</v>
      </c>
      <c r="B14" s="156" t="s">
        <v>21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2">
        <f>Q15</f>
        <v>1.3503954813096248</v>
      </c>
      <c r="R14" s="162">
        <f aca="true" t="shared" si="0" ref="R14:Y14">R15</f>
        <v>0.06430454672902976</v>
      </c>
      <c r="S14" s="162">
        <f t="shared" si="0"/>
        <v>0.20047495548151437</v>
      </c>
      <c r="T14" s="162">
        <f t="shared" si="0"/>
        <v>1.0856159790990807</v>
      </c>
      <c r="U14" s="162">
        <f t="shared" si="0"/>
        <v>0</v>
      </c>
      <c r="V14" s="162">
        <f t="shared" si="0"/>
        <v>0</v>
      </c>
      <c r="W14" s="162">
        <f t="shared" si="0"/>
        <v>0</v>
      </c>
      <c r="X14" s="162">
        <f t="shared" si="0"/>
        <v>0</v>
      </c>
      <c r="Y14" s="162">
        <f t="shared" si="0"/>
        <v>0</v>
      </c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77"/>
    </row>
    <row r="15" spans="1:36" s="41" customFormat="1" ht="31.5">
      <c r="A15" s="159" t="s">
        <v>199</v>
      </c>
      <c r="B15" s="168" t="s">
        <v>446</v>
      </c>
      <c r="C15" s="160"/>
      <c r="D15" s="160"/>
      <c r="E15" s="160"/>
      <c r="F15" s="160"/>
      <c r="G15" s="179">
        <v>1976</v>
      </c>
      <c r="H15" s="179">
        <v>25</v>
      </c>
      <c r="I15" s="183" t="s">
        <v>459</v>
      </c>
      <c r="J15" s="179">
        <v>0.8</v>
      </c>
      <c r="K15" s="160"/>
      <c r="L15" s="160"/>
      <c r="M15" s="160"/>
      <c r="N15" s="160"/>
      <c r="O15" s="160"/>
      <c r="P15" s="160"/>
      <c r="Q15" s="166">
        <f>R15+S15+T15</f>
        <v>1.3503954813096248</v>
      </c>
      <c r="R15" s="166">
        <f>'сметная стоимость работ'!N15</f>
        <v>0.06430454672902976</v>
      </c>
      <c r="S15" s="166">
        <f>'сметная стоимость работ'!$N$16*'сметная стоимость работ'!U16</f>
        <v>0.20047495548151437</v>
      </c>
      <c r="T15" s="166">
        <f>'сметная стоимость работ'!$N$16*'сметная стоимость работ'!V16</f>
        <v>1.0856159790990807</v>
      </c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77"/>
    </row>
    <row r="16" spans="1:36" s="41" customFormat="1" ht="15.75">
      <c r="A16" s="159"/>
      <c r="B16" s="164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2"/>
      <c r="R16" s="271"/>
      <c r="S16" s="271"/>
      <c r="T16" s="271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77"/>
    </row>
    <row r="17" spans="1:36" s="42" customFormat="1" ht="141.75">
      <c r="A17" s="159" t="s">
        <v>33</v>
      </c>
      <c r="B17" s="156" t="s">
        <v>34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66"/>
      <c r="R17" s="166"/>
      <c r="S17" s="166"/>
      <c r="T17" s="166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44"/>
    </row>
    <row r="18" spans="1:36" s="43" customFormat="1" ht="15.75">
      <c r="A18" s="180"/>
      <c r="B18" s="181"/>
      <c r="C18" s="182"/>
      <c r="D18" s="182"/>
      <c r="E18" s="182"/>
      <c r="F18" s="182"/>
      <c r="G18" s="182"/>
      <c r="H18" s="182"/>
      <c r="I18" s="182"/>
      <c r="J18" s="182"/>
      <c r="K18" s="179"/>
      <c r="L18" s="179"/>
      <c r="M18" s="183"/>
      <c r="N18" s="183"/>
      <c r="O18" s="179"/>
      <c r="P18" s="182"/>
      <c r="Q18" s="184"/>
      <c r="R18" s="185"/>
      <c r="S18" s="184"/>
      <c r="T18" s="184"/>
      <c r="U18" s="184"/>
      <c r="V18" s="182"/>
      <c r="W18" s="182"/>
      <c r="X18" s="182"/>
      <c r="Y18" s="182"/>
      <c r="Z18" s="182"/>
      <c r="AA18" s="182"/>
      <c r="AB18" s="182"/>
      <c r="AC18" s="182"/>
      <c r="AD18" s="179"/>
      <c r="AE18" s="179"/>
      <c r="AF18" s="183"/>
      <c r="AG18" s="183"/>
      <c r="AH18" s="179"/>
      <c r="AI18" s="182"/>
      <c r="AJ18" s="178"/>
    </row>
    <row r="19" spans="1:36" s="42" customFormat="1" ht="15.75">
      <c r="A19" s="163"/>
      <c r="B19" s="167" t="s">
        <v>61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66"/>
      <c r="R19" s="166"/>
      <c r="S19" s="166"/>
      <c r="T19" s="166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44"/>
    </row>
    <row r="20" spans="1:36" s="43" customFormat="1" ht="15.75">
      <c r="A20" s="180"/>
      <c r="B20" s="183" t="s">
        <v>30</v>
      </c>
      <c r="C20" s="182"/>
      <c r="D20" s="182"/>
      <c r="E20" s="182"/>
      <c r="F20" s="182"/>
      <c r="G20" s="179"/>
      <c r="H20" s="179"/>
      <c r="I20" s="179"/>
      <c r="J20" s="179"/>
      <c r="K20" s="182"/>
      <c r="L20" s="182"/>
      <c r="M20" s="182"/>
      <c r="N20" s="182"/>
      <c r="O20" s="182"/>
      <c r="P20" s="182"/>
      <c r="Q20" s="184"/>
      <c r="R20" s="272"/>
      <c r="S20" s="184"/>
      <c r="T20" s="184"/>
      <c r="U20" s="184"/>
      <c r="V20" s="182"/>
      <c r="W20" s="182"/>
      <c r="X20" s="182"/>
      <c r="Y20" s="182"/>
      <c r="Z20" s="179"/>
      <c r="AA20" s="179"/>
      <c r="AB20" s="179"/>
      <c r="AC20" s="179"/>
      <c r="AD20" s="182"/>
      <c r="AE20" s="182"/>
      <c r="AF20" s="182"/>
      <c r="AG20" s="182"/>
      <c r="AH20" s="182"/>
      <c r="AI20" s="182"/>
      <c r="AJ20" s="178"/>
    </row>
    <row r="21" spans="1:36" s="42" customFormat="1" ht="15.75">
      <c r="A21" s="159" t="s">
        <v>62</v>
      </c>
      <c r="B21" s="160" t="s">
        <v>63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62">
        <f>Q22</f>
        <v>0.3991235217276032</v>
      </c>
      <c r="R21" s="162">
        <f aca="true" t="shared" si="1" ref="R21:Y21">R22</f>
        <v>0.3991235217276032</v>
      </c>
      <c r="S21" s="162">
        <f t="shared" si="1"/>
        <v>0</v>
      </c>
      <c r="T21" s="162">
        <f t="shared" si="1"/>
        <v>0</v>
      </c>
      <c r="U21" s="162">
        <f t="shared" si="1"/>
        <v>0</v>
      </c>
      <c r="V21" s="162">
        <f t="shared" si="1"/>
        <v>0</v>
      </c>
      <c r="W21" s="162">
        <f t="shared" si="1"/>
        <v>0</v>
      </c>
      <c r="X21" s="162">
        <f t="shared" si="1"/>
        <v>0</v>
      </c>
      <c r="Y21" s="162">
        <f t="shared" si="1"/>
        <v>0</v>
      </c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44"/>
    </row>
    <row r="22" spans="1:36" s="42" customFormat="1" ht="63">
      <c r="A22" s="159" t="s">
        <v>64</v>
      </c>
      <c r="B22" s="156" t="s">
        <v>23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62">
        <f>Q23</f>
        <v>0.3991235217276032</v>
      </c>
      <c r="R22" s="162">
        <f>R23</f>
        <v>0.3991235217276032</v>
      </c>
      <c r="S22" s="162">
        <f>S23</f>
        <v>0</v>
      </c>
      <c r="T22" s="162">
        <f>T23</f>
        <v>0</v>
      </c>
      <c r="U22" s="162">
        <f>U23</f>
        <v>0</v>
      </c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44"/>
    </row>
    <row r="23" spans="1:36" s="42" customFormat="1" ht="47.25">
      <c r="A23" s="159"/>
      <c r="B23" s="168" t="s">
        <v>441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66">
        <f>R23+S23+T23</f>
        <v>0.3991235217276032</v>
      </c>
      <c r="R23" s="166">
        <f>'сметная стоимость работ'!N18</f>
        <v>0.3991235217276032</v>
      </c>
      <c r="S23" s="166"/>
      <c r="T23" s="166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44"/>
    </row>
    <row r="24" spans="1:35" s="28" customFormat="1" ht="15.75">
      <c r="A24" s="159"/>
      <c r="B24" s="164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</row>
    <row r="25" spans="1:35" s="45" customFormat="1" ht="15.75">
      <c r="A25" s="180" t="s">
        <v>37</v>
      </c>
      <c r="B25" s="187" t="s">
        <v>38</v>
      </c>
      <c r="C25" s="179"/>
      <c r="D25" s="179"/>
      <c r="E25" s="179"/>
      <c r="F25" s="179"/>
      <c r="G25" s="179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</row>
    <row r="26" spans="1:35" s="45" customFormat="1" ht="15.75">
      <c r="A26" s="180"/>
      <c r="B26" s="187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9"/>
      <c r="Q26" s="189"/>
      <c r="R26" s="188"/>
      <c r="S26" s="188"/>
      <c r="T26" s="189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3"/>
    </row>
    <row r="27" spans="1:35" s="277" customFormat="1" ht="14.25" customHeight="1">
      <c r="A27" s="273"/>
      <c r="B27" s="274" t="s">
        <v>65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186">
        <f>Q21+Q14</f>
        <v>1.749519003037228</v>
      </c>
      <c r="R27" s="186">
        <f aca="true" t="shared" si="2" ref="R27:Y27">R21+R14</f>
        <v>0.4634280684566329</v>
      </c>
      <c r="S27" s="186">
        <f t="shared" si="2"/>
        <v>0.20047495548151437</v>
      </c>
      <c r="T27" s="186">
        <f t="shared" si="2"/>
        <v>1.0856159790990807</v>
      </c>
      <c r="U27" s="186">
        <f t="shared" si="2"/>
        <v>0</v>
      </c>
      <c r="V27" s="186">
        <f t="shared" si="2"/>
        <v>0</v>
      </c>
      <c r="W27" s="186">
        <f t="shared" si="2"/>
        <v>0</v>
      </c>
      <c r="X27" s="186">
        <f t="shared" si="2"/>
        <v>0</v>
      </c>
      <c r="Y27" s="186">
        <f t="shared" si="2"/>
        <v>0</v>
      </c>
      <c r="Z27" s="275"/>
      <c r="AA27" s="275"/>
      <c r="AB27" s="275"/>
      <c r="AC27" s="275"/>
      <c r="AD27" s="275"/>
      <c r="AE27" s="275"/>
      <c r="AF27" s="275"/>
      <c r="AG27" s="275"/>
      <c r="AH27" s="275"/>
      <c r="AI27" s="276"/>
    </row>
    <row r="28" spans="1:35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5.75">
      <c r="A29" s="21" t="s">
        <v>427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29.25" customHeight="1">
      <c r="A31" s="292" t="s">
        <v>4</v>
      </c>
      <c r="B31" s="292" t="s">
        <v>41</v>
      </c>
      <c r="C31" s="292" t="s">
        <v>42</v>
      </c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 t="s">
        <v>43</v>
      </c>
      <c r="R31" s="292"/>
      <c r="S31" s="292"/>
      <c r="T31" s="292"/>
      <c r="U31" s="292"/>
      <c r="V31" s="292" t="s">
        <v>44</v>
      </c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</row>
    <row r="32" spans="1:35" ht="39.75" customHeight="1">
      <c r="A32" s="292"/>
      <c r="B32" s="292"/>
      <c r="C32" s="292" t="s">
        <v>45</v>
      </c>
      <c r="D32" s="292"/>
      <c r="E32" s="292"/>
      <c r="F32" s="292"/>
      <c r="G32" s="292" t="s">
        <v>46</v>
      </c>
      <c r="H32" s="292"/>
      <c r="I32" s="292"/>
      <c r="J32" s="292"/>
      <c r="K32" s="292" t="s">
        <v>47</v>
      </c>
      <c r="L32" s="292"/>
      <c r="M32" s="292"/>
      <c r="N32" s="292"/>
      <c r="O32" s="292"/>
      <c r="P32" s="156" t="s">
        <v>48</v>
      </c>
      <c r="Q32" s="292"/>
      <c r="R32" s="292"/>
      <c r="S32" s="292"/>
      <c r="T32" s="292"/>
      <c r="U32" s="292"/>
      <c r="V32" s="292" t="s">
        <v>45</v>
      </c>
      <c r="W32" s="292"/>
      <c r="X32" s="292"/>
      <c r="Y32" s="292"/>
      <c r="Z32" s="292" t="s">
        <v>46</v>
      </c>
      <c r="AA32" s="292"/>
      <c r="AB32" s="292"/>
      <c r="AC32" s="292"/>
      <c r="AD32" s="292" t="s">
        <v>47</v>
      </c>
      <c r="AE32" s="292"/>
      <c r="AF32" s="292"/>
      <c r="AG32" s="292"/>
      <c r="AH32" s="292"/>
      <c r="AI32" s="156" t="s">
        <v>48</v>
      </c>
    </row>
    <row r="33" spans="1:35" ht="119.25" customHeight="1">
      <c r="A33" s="156"/>
      <c r="B33" s="156" t="s">
        <v>19</v>
      </c>
      <c r="C33" s="158" t="s">
        <v>49</v>
      </c>
      <c r="D33" s="158" t="s">
        <v>50</v>
      </c>
      <c r="E33" s="158" t="s">
        <v>51</v>
      </c>
      <c r="F33" s="158" t="s">
        <v>52</v>
      </c>
      <c r="G33" s="158" t="s">
        <v>49</v>
      </c>
      <c r="H33" s="158" t="s">
        <v>50</v>
      </c>
      <c r="I33" s="158" t="s">
        <v>53</v>
      </c>
      <c r="J33" s="158" t="s">
        <v>54</v>
      </c>
      <c r="K33" s="158" t="s">
        <v>49</v>
      </c>
      <c r="L33" s="158" t="s">
        <v>50</v>
      </c>
      <c r="M33" s="158" t="s">
        <v>55</v>
      </c>
      <c r="N33" s="158" t="s">
        <v>56</v>
      </c>
      <c r="O33" s="158" t="s">
        <v>57</v>
      </c>
      <c r="P33" s="158"/>
      <c r="Q33" s="158" t="s">
        <v>58</v>
      </c>
      <c r="R33" s="158" t="s">
        <v>26</v>
      </c>
      <c r="S33" s="158" t="s">
        <v>27</v>
      </c>
      <c r="T33" s="158" t="s">
        <v>59</v>
      </c>
      <c r="U33" s="158" t="s">
        <v>60</v>
      </c>
      <c r="V33" s="158" t="s">
        <v>49</v>
      </c>
      <c r="W33" s="158" t="s">
        <v>50</v>
      </c>
      <c r="X33" s="158" t="s">
        <v>51</v>
      </c>
      <c r="Y33" s="158" t="s">
        <v>52</v>
      </c>
      <c r="Z33" s="158" t="s">
        <v>49</v>
      </c>
      <c r="AA33" s="158" t="s">
        <v>50</v>
      </c>
      <c r="AB33" s="158" t="s">
        <v>53</v>
      </c>
      <c r="AC33" s="158" t="s">
        <v>54</v>
      </c>
      <c r="AD33" s="158" t="s">
        <v>49</v>
      </c>
      <c r="AE33" s="158" t="s">
        <v>50</v>
      </c>
      <c r="AF33" s="158" t="s">
        <v>55</v>
      </c>
      <c r="AG33" s="158" t="s">
        <v>56</v>
      </c>
      <c r="AH33" s="158" t="s">
        <v>57</v>
      </c>
      <c r="AI33" s="158"/>
    </row>
    <row r="34" spans="1:35" ht="47.25">
      <c r="A34" s="159" t="s">
        <v>20</v>
      </c>
      <c r="B34" s="156" t="s">
        <v>21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2">
        <f>Q35</f>
        <v>1.3480409344589008</v>
      </c>
      <c r="R34" s="162">
        <f>R35</f>
        <v>0</v>
      </c>
      <c r="S34" s="162">
        <f>S35</f>
        <v>0.21013167813910252</v>
      </c>
      <c r="T34" s="162">
        <f>T35</f>
        <v>1.1379092563197983</v>
      </c>
      <c r="U34" s="162">
        <f>U35</f>
        <v>0</v>
      </c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</row>
    <row r="35" spans="1:35" ht="31.5">
      <c r="A35" s="163" t="s">
        <v>199</v>
      </c>
      <c r="B35" s="168" t="s">
        <v>446</v>
      </c>
      <c r="C35" s="157"/>
      <c r="D35" s="157"/>
      <c r="E35" s="157"/>
      <c r="F35" s="157"/>
      <c r="G35" s="157">
        <f>G15</f>
        <v>1976</v>
      </c>
      <c r="H35" s="157">
        <f>H15</f>
        <v>25</v>
      </c>
      <c r="I35" s="183" t="str">
        <f>I15</f>
        <v>2 ТМ-400 кВА</v>
      </c>
      <c r="J35" s="157">
        <f>J15</f>
        <v>0.8</v>
      </c>
      <c r="K35" s="160"/>
      <c r="L35" s="160"/>
      <c r="M35" s="160"/>
      <c r="N35" s="160"/>
      <c r="O35" s="160"/>
      <c r="P35" s="160"/>
      <c r="Q35" s="166">
        <f>R35+S35+T35</f>
        <v>1.3480409344589008</v>
      </c>
      <c r="R35" s="166">
        <f>'сметная стоимость работ'!O15</f>
        <v>0</v>
      </c>
      <c r="S35" s="166">
        <f>'сметная стоимость работ'!$O$16*'сметная стоимость работ'!U16</f>
        <v>0.21013167813910252</v>
      </c>
      <c r="T35" s="166">
        <f>'сметная стоимость работ'!$O$16*'сметная стоимость работ'!V16</f>
        <v>1.1379092563197983</v>
      </c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</row>
    <row r="36" spans="1:35" ht="15.75">
      <c r="A36" s="159"/>
      <c r="B36" s="164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2"/>
      <c r="R36" s="271"/>
      <c r="S36" s="271"/>
      <c r="T36" s="271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</row>
    <row r="37" spans="1:35" ht="141.75">
      <c r="A37" s="159" t="s">
        <v>33</v>
      </c>
      <c r="B37" s="156" t="s">
        <v>34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66"/>
      <c r="R37" s="166"/>
      <c r="S37" s="166"/>
      <c r="T37" s="166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</row>
    <row r="38" spans="1:35" ht="15.75">
      <c r="A38" s="180"/>
      <c r="B38" s="181"/>
      <c r="C38" s="182"/>
      <c r="D38" s="182"/>
      <c r="E38" s="182"/>
      <c r="F38" s="182"/>
      <c r="G38" s="182"/>
      <c r="H38" s="182"/>
      <c r="I38" s="182"/>
      <c r="J38" s="182"/>
      <c r="K38" s="179"/>
      <c r="L38" s="179"/>
      <c r="M38" s="183"/>
      <c r="N38" s="183"/>
      <c r="O38" s="179"/>
      <c r="P38" s="182"/>
      <c r="Q38" s="184"/>
      <c r="R38" s="185"/>
      <c r="S38" s="184"/>
      <c r="T38" s="184"/>
      <c r="U38" s="184"/>
      <c r="V38" s="182"/>
      <c r="W38" s="182"/>
      <c r="X38" s="182"/>
      <c r="Y38" s="182"/>
      <c r="Z38" s="182"/>
      <c r="AA38" s="182"/>
      <c r="AB38" s="182"/>
      <c r="AC38" s="182"/>
      <c r="AD38" s="179"/>
      <c r="AE38" s="179"/>
      <c r="AF38" s="183"/>
      <c r="AG38" s="183"/>
      <c r="AH38" s="179"/>
      <c r="AI38" s="182"/>
    </row>
    <row r="39" spans="1:35" ht="15.75">
      <c r="A39" s="163"/>
      <c r="B39" s="167" t="s">
        <v>61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66"/>
      <c r="R39" s="166"/>
      <c r="S39" s="166"/>
      <c r="T39" s="166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</row>
    <row r="40" spans="1:35" ht="15.75">
      <c r="A40" s="180"/>
      <c r="B40" s="183" t="s">
        <v>30</v>
      </c>
      <c r="C40" s="182"/>
      <c r="D40" s="182"/>
      <c r="E40" s="182"/>
      <c r="F40" s="182"/>
      <c r="G40" s="179"/>
      <c r="H40" s="179"/>
      <c r="I40" s="179"/>
      <c r="J40" s="179"/>
      <c r="K40" s="182"/>
      <c r="L40" s="182"/>
      <c r="M40" s="182"/>
      <c r="N40" s="182"/>
      <c r="O40" s="182"/>
      <c r="P40" s="182"/>
      <c r="Q40" s="184"/>
      <c r="R40" s="272"/>
      <c r="S40" s="184"/>
      <c r="T40" s="184"/>
      <c r="U40" s="184"/>
      <c r="V40" s="182"/>
      <c r="W40" s="182"/>
      <c r="X40" s="182"/>
      <c r="Y40" s="182"/>
      <c r="Z40" s="179"/>
      <c r="AA40" s="179"/>
      <c r="AB40" s="179"/>
      <c r="AC40" s="179"/>
      <c r="AD40" s="182"/>
      <c r="AE40" s="182"/>
      <c r="AF40" s="182"/>
      <c r="AG40" s="182"/>
      <c r="AH40" s="182"/>
      <c r="AI40" s="182"/>
    </row>
    <row r="41" spans="1:35" ht="15.75">
      <c r="A41" s="159" t="s">
        <v>62</v>
      </c>
      <c r="B41" s="160" t="s">
        <v>63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62">
        <f aca="true" t="shared" si="3" ref="Q41:U42">Q42</f>
        <v>5.185557784830564</v>
      </c>
      <c r="R41" s="162">
        <f t="shared" si="3"/>
        <v>0</v>
      </c>
      <c r="S41" s="162">
        <f t="shared" si="3"/>
        <v>2.5964100471920646</v>
      </c>
      <c r="T41" s="162">
        <f t="shared" si="3"/>
        <v>2.1833492160832777</v>
      </c>
      <c r="U41" s="162">
        <f t="shared" si="3"/>
        <v>0.40579852155522217</v>
      </c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</row>
    <row r="42" spans="1:35" ht="63">
      <c r="A42" s="159" t="s">
        <v>64</v>
      </c>
      <c r="B42" s="156" t="s">
        <v>23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62">
        <f t="shared" si="3"/>
        <v>5.185557784830564</v>
      </c>
      <c r="R42" s="162">
        <f t="shared" si="3"/>
        <v>0</v>
      </c>
      <c r="S42" s="162">
        <f t="shared" si="3"/>
        <v>2.5964100471920646</v>
      </c>
      <c r="T42" s="162">
        <f t="shared" si="3"/>
        <v>2.1833492160832777</v>
      </c>
      <c r="U42" s="162">
        <f t="shared" si="3"/>
        <v>0.40579852155522217</v>
      </c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</row>
    <row r="43" spans="1:35" ht="47.25">
      <c r="A43" s="159"/>
      <c r="B43" s="168" t="s">
        <v>441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66">
        <f>'сметная стоимость работ'!O17</f>
        <v>5.185557784830564</v>
      </c>
      <c r="R43" s="166">
        <f>'сметная стоимость работ'!N38</f>
        <v>0</v>
      </c>
      <c r="S43" s="166">
        <f>Q43-T43-U43</f>
        <v>2.5964100471920646</v>
      </c>
      <c r="T43" s="166">
        <f>'сметная стоимость работ'!O21*'сметная стоимость работ'!V21</f>
        <v>2.1833492160832777</v>
      </c>
      <c r="U43" s="157">
        <f>'сметная стоимость работ'!O23+'сметная стоимость работ'!O22</f>
        <v>0.40579852155522217</v>
      </c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</row>
    <row r="44" spans="1:35" ht="15.75">
      <c r="A44" s="159"/>
      <c r="B44" s="164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</row>
    <row r="45" spans="1:35" ht="15.75">
      <c r="A45" s="180" t="s">
        <v>37</v>
      </c>
      <c r="B45" s="187" t="s">
        <v>38</v>
      </c>
      <c r="C45" s="179"/>
      <c r="D45" s="179"/>
      <c r="E45" s="179"/>
      <c r="F45" s="179"/>
      <c r="G45" s="179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</row>
    <row r="46" spans="1:35" ht="15.75">
      <c r="A46" s="180"/>
      <c r="B46" s="187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9"/>
      <c r="Q46" s="189"/>
      <c r="R46" s="188"/>
      <c r="S46" s="188"/>
      <c r="T46" s="189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3"/>
    </row>
    <row r="47" spans="1:35" s="119" customFormat="1" ht="15.75">
      <c r="A47" s="273"/>
      <c r="B47" s="274" t="s">
        <v>65</v>
      </c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186">
        <f>Q41+Q34</f>
        <v>6.533598719289465</v>
      </c>
      <c r="R47" s="186">
        <f>R41+R34</f>
        <v>0</v>
      </c>
      <c r="S47" s="186">
        <f>S41+S34</f>
        <v>2.8065417253311673</v>
      </c>
      <c r="T47" s="186">
        <f>T41+T34</f>
        <v>3.321258472403076</v>
      </c>
      <c r="U47" s="186">
        <f>U41+U34</f>
        <v>0.40579852155522217</v>
      </c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6"/>
    </row>
    <row r="48" spans="1:35" ht="15.75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49" spans="1:35" ht="15.75">
      <c r="A49" s="21" t="s">
        <v>428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31.5" customHeight="1">
      <c r="A51" s="292" t="s">
        <v>4</v>
      </c>
      <c r="B51" s="292" t="s">
        <v>41</v>
      </c>
      <c r="C51" s="292" t="s">
        <v>42</v>
      </c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 t="s">
        <v>43</v>
      </c>
      <c r="R51" s="292"/>
      <c r="S51" s="292"/>
      <c r="T51" s="292"/>
      <c r="U51" s="292"/>
      <c r="V51" s="292" t="s">
        <v>44</v>
      </c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</row>
    <row r="52" spans="1:35" ht="33" customHeight="1">
      <c r="A52" s="292"/>
      <c r="B52" s="292"/>
      <c r="C52" s="292" t="s">
        <v>45</v>
      </c>
      <c r="D52" s="292"/>
      <c r="E52" s="292"/>
      <c r="F52" s="292"/>
      <c r="G52" s="292" t="s">
        <v>46</v>
      </c>
      <c r="H52" s="292"/>
      <c r="I52" s="292"/>
      <c r="J52" s="292"/>
      <c r="K52" s="292" t="s">
        <v>47</v>
      </c>
      <c r="L52" s="292"/>
      <c r="M52" s="292"/>
      <c r="N52" s="292"/>
      <c r="O52" s="292"/>
      <c r="P52" s="156" t="s">
        <v>48</v>
      </c>
      <c r="Q52" s="292"/>
      <c r="R52" s="292"/>
      <c r="S52" s="292"/>
      <c r="T52" s="292"/>
      <c r="U52" s="292"/>
      <c r="V52" s="292" t="s">
        <v>45</v>
      </c>
      <c r="W52" s="292"/>
      <c r="X52" s="292"/>
      <c r="Y52" s="292"/>
      <c r="Z52" s="292" t="s">
        <v>46</v>
      </c>
      <c r="AA52" s="292"/>
      <c r="AB52" s="292"/>
      <c r="AC52" s="292"/>
      <c r="AD52" s="292" t="s">
        <v>47</v>
      </c>
      <c r="AE52" s="292"/>
      <c r="AF52" s="292"/>
      <c r="AG52" s="292"/>
      <c r="AH52" s="292"/>
      <c r="AI52" s="156" t="s">
        <v>48</v>
      </c>
    </row>
    <row r="53" spans="1:35" ht="120" customHeight="1">
      <c r="A53" s="156"/>
      <c r="B53" s="156" t="s">
        <v>19</v>
      </c>
      <c r="C53" s="158" t="s">
        <v>49</v>
      </c>
      <c r="D53" s="158" t="s">
        <v>50</v>
      </c>
      <c r="E53" s="158" t="s">
        <v>51</v>
      </c>
      <c r="F53" s="158" t="s">
        <v>52</v>
      </c>
      <c r="G53" s="158" t="s">
        <v>49</v>
      </c>
      <c r="H53" s="158" t="s">
        <v>50</v>
      </c>
      <c r="I53" s="158" t="s">
        <v>53</v>
      </c>
      <c r="J53" s="158" t="s">
        <v>54</v>
      </c>
      <c r="K53" s="158" t="s">
        <v>49</v>
      </c>
      <c r="L53" s="158" t="s">
        <v>50</v>
      </c>
      <c r="M53" s="158" t="s">
        <v>55</v>
      </c>
      <c r="N53" s="158" t="s">
        <v>56</v>
      </c>
      <c r="O53" s="158" t="s">
        <v>57</v>
      </c>
      <c r="P53" s="158"/>
      <c r="Q53" s="158" t="s">
        <v>58</v>
      </c>
      <c r="R53" s="158" t="s">
        <v>26</v>
      </c>
      <c r="S53" s="158" t="s">
        <v>27</v>
      </c>
      <c r="T53" s="158" t="s">
        <v>59</v>
      </c>
      <c r="U53" s="158" t="s">
        <v>60</v>
      </c>
      <c r="V53" s="158" t="s">
        <v>49</v>
      </c>
      <c r="W53" s="158" t="s">
        <v>50</v>
      </c>
      <c r="X53" s="158" t="s">
        <v>51</v>
      </c>
      <c r="Y53" s="158" t="s">
        <v>52</v>
      </c>
      <c r="Z53" s="158" t="s">
        <v>49</v>
      </c>
      <c r="AA53" s="158" t="s">
        <v>50</v>
      </c>
      <c r="AB53" s="158" t="s">
        <v>53</v>
      </c>
      <c r="AC53" s="158" t="s">
        <v>54</v>
      </c>
      <c r="AD53" s="158" t="s">
        <v>49</v>
      </c>
      <c r="AE53" s="158" t="s">
        <v>50</v>
      </c>
      <c r="AF53" s="158" t="s">
        <v>55</v>
      </c>
      <c r="AG53" s="158" t="s">
        <v>56</v>
      </c>
      <c r="AH53" s="158" t="s">
        <v>57</v>
      </c>
      <c r="AI53" s="158"/>
    </row>
    <row r="54" spans="1:35" ht="47.25">
      <c r="A54" s="159" t="s">
        <v>20</v>
      </c>
      <c r="B54" s="156" t="s">
        <v>21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2">
        <f>Q55</f>
        <v>0.7014021492411956</v>
      </c>
      <c r="R54" s="162">
        <f>R55</f>
        <v>0</v>
      </c>
      <c r="S54" s="162">
        <f>S55</f>
        <v>0.1093340765127331</v>
      </c>
      <c r="T54" s="162">
        <f>T55</f>
        <v>0.5920680727284625</v>
      </c>
      <c r="U54" s="162">
        <f>U55</f>
        <v>0</v>
      </c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</row>
    <row r="55" spans="1:35" ht="31.5">
      <c r="A55" s="159" t="s">
        <v>199</v>
      </c>
      <c r="B55" s="168" t="s">
        <v>446</v>
      </c>
      <c r="C55" s="160"/>
      <c r="D55" s="160"/>
      <c r="E55" s="160"/>
      <c r="F55" s="160"/>
      <c r="G55" s="157">
        <f>G35</f>
        <v>1976</v>
      </c>
      <c r="H55" s="157">
        <f>H35</f>
        <v>25</v>
      </c>
      <c r="I55" s="158" t="str">
        <f>I35</f>
        <v>2 ТМ-400 кВА</v>
      </c>
      <c r="J55" s="157">
        <f>J35</f>
        <v>0.8</v>
      </c>
      <c r="K55" s="160"/>
      <c r="L55" s="160"/>
      <c r="M55" s="160"/>
      <c r="N55" s="160"/>
      <c r="O55" s="160"/>
      <c r="P55" s="160"/>
      <c r="Q55" s="166">
        <f>R55+S55+T55</f>
        <v>0.7014021492411956</v>
      </c>
      <c r="R55" s="166">
        <f>'сметная стоимость работ'!P15</f>
        <v>0</v>
      </c>
      <c r="S55" s="166">
        <f>'сметная стоимость работ'!$P$16*'сметная стоимость работ'!U16</f>
        <v>0.1093340765127331</v>
      </c>
      <c r="T55" s="166">
        <f>'сметная стоимость работ'!$P$16*'сметная стоимость работ'!V16</f>
        <v>0.5920680727284625</v>
      </c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</row>
    <row r="56" spans="1:35" ht="15.75">
      <c r="A56" s="159"/>
      <c r="B56" s="164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2"/>
      <c r="R56" s="271"/>
      <c r="S56" s="271"/>
      <c r="T56" s="271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</row>
    <row r="57" spans="1:35" ht="141.75">
      <c r="A57" s="159" t="s">
        <v>33</v>
      </c>
      <c r="B57" s="156" t="s">
        <v>34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66"/>
      <c r="R57" s="166"/>
      <c r="S57" s="166"/>
      <c r="T57" s="166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</row>
    <row r="58" spans="1:35" ht="15.75">
      <c r="A58" s="180"/>
      <c r="B58" s="181"/>
      <c r="C58" s="182"/>
      <c r="D58" s="182"/>
      <c r="E58" s="182"/>
      <c r="F58" s="182"/>
      <c r="G58" s="182"/>
      <c r="H58" s="182"/>
      <c r="I58" s="182"/>
      <c r="J58" s="182"/>
      <c r="K58" s="179"/>
      <c r="L58" s="179"/>
      <c r="M58" s="183"/>
      <c r="N58" s="183"/>
      <c r="O58" s="179"/>
      <c r="P58" s="182"/>
      <c r="Q58" s="184"/>
      <c r="R58" s="185"/>
      <c r="S58" s="184"/>
      <c r="T58" s="184"/>
      <c r="U58" s="184"/>
      <c r="V58" s="182"/>
      <c r="W58" s="182"/>
      <c r="X58" s="182"/>
      <c r="Y58" s="182"/>
      <c r="Z58" s="182"/>
      <c r="AA58" s="182"/>
      <c r="AB58" s="182"/>
      <c r="AC58" s="182"/>
      <c r="AD58" s="179"/>
      <c r="AE58" s="179"/>
      <c r="AF58" s="183"/>
      <c r="AG58" s="183"/>
      <c r="AH58" s="179"/>
      <c r="AI58" s="182"/>
    </row>
    <row r="59" spans="1:35" ht="15.75">
      <c r="A59" s="163"/>
      <c r="B59" s="167" t="s">
        <v>61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66"/>
      <c r="R59" s="166"/>
      <c r="S59" s="166"/>
      <c r="T59" s="166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</row>
    <row r="60" spans="1:35" ht="15.75">
      <c r="A60" s="180"/>
      <c r="B60" s="183" t="s">
        <v>30</v>
      </c>
      <c r="C60" s="182"/>
      <c r="D60" s="182"/>
      <c r="E60" s="182"/>
      <c r="F60" s="182"/>
      <c r="G60" s="179"/>
      <c r="H60" s="179"/>
      <c r="I60" s="179"/>
      <c r="J60" s="179"/>
      <c r="K60" s="182"/>
      <c r="L60" s="182"/>
      <c r="M60" s="182"/>
      <c r="N60" s="182"/>
      <c r="O60" s="182"/>
      <c r="P60" s="182"/>
      <c r="Q60" s="184"/>
      <c r="R60" s="272"/>
      <c r="S60" s="184"/>
      <c r="T60" s="184"/>
      <c r="U60" s="184"/>
      <c r="V60" s="182"/>
      <c r="W60" s="182"/>
      <c r="X60" s="182"/>
      <c r="Y60" s="182"/>
      <c r="Z60" s="179"/>
      <c r="AA60" s="179"/>
      <c r="AB60" s="179"/>
      <c r="AC60" s="179"/>
      <c r="AD60" s="182"/>
      <c r="AE60" s="182"/>
      <c r="AF60" s="182"/>
      <c r="AG60" s="182"/>
      <c r="AH60" s="182"/>
      <c r="AI60" s="182"/>
    </row>
    <row r="61" spans="1:35" ht="15.75">
      <c r="A61" s="159" t="s">
        <v>62</v>
      </c>
      <c r="B61" s="160" t="s">
        <v>63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62">
        <f aca="true" t="shared" si="4" ref="Q61:U62">Q62</f>
        <v>6.1935059280080775</v>
      </c>
      <c r="R61" s="162">
        <f t="shared" si="4"/>
        <v>0</v>
      </c>
      <c r="S61" s="162">
        <f t="shared" si="4"/>
        <v>3.1121219195905354</v>
      </c>
      <c r="T61" s="162">
        <f t="shared" si="4"/>
        <v>2.6170168925520816</v>
      </c>
      <c r="U61" s="162">
        <f t="shared" si="4"/>
        <v>0.4643671158654607</v>
      </c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</row>
    <row r="62" spans="1:35" ht="63">
      <c r="A62" s="159" t="s">
        <v>64</v>
      </c>
      <c r="B62" s="156" t="s">
        <v>23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62">
        <f t="shared" si="4"/>
        <v>6.1935059280080775</v>
      </c>
      <c r="R62" s="162">
        <f t="shared" si="4"/>
        <v>0</v>
      </c>
      <c r="S62" s="162">
        <f t="shared" si="4"/>
        <v>3.1121219195905354</v>
      </c>
      <c r="T62" s="162">
        <f t="shared" si="4"/>
        <v>2.6170168925520816</v>
      </c>
      <c r="U62" s="162">
        <f t="shared" si="4"/>
        <v>0.4643671158654607</v>
      </c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</row>
    <row r="63" spans="1:35" ht="47.25">
      <c r="A63" s="159"/>
      <c r="B63" s="168" t="s">
        <v>441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66">
        <f>'сметная стоимость работ'!P17</f>
        <v>6.1935059280080775</v>
      </c>
      <c r="R63" s="166"/>
      <c r="S63" s="166">
        <f>('сметная стоимость работ'!P20*'сметная стоимость работ'!U20+'сметная стоимость работ'!P21*'сметная стоимость работ'!U21)</f>
        <v>3.1121219195905354</v>
      </c>
      <c r="T63" s="166">
        <f>Q63-U63-S63</f>
        <v>2.6170168925520816</v>
      </c>
      <c r="U63" s="166">
        <f>'сметная стоимость работ'!P22+'сметная стоимость работ'!P23</f>
        <v>0.4643671158654607</v>
      </c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</row>
    <row r="64" spans="1:35" ht="15.75">
      <c r="A64" s="159"/>
      <c r="B64" s="164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</row>
    <row r="65" spans="1:35" ht="15.75">
      <c r="A65" s="180" t="s">
        <v>37</v>
      </c>
      <c r="B65" s="187" t="s">
        <v>38</v>
      </c>
      <c r="C65" s="179"/>
      <c r="D65" s="179"/>
      <c r="E65" s="179"/>
      <c r="F65" s="179"/>
      <c r="G65" s="179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</row>
    <row r="66" spans="1:35" ht="15.75">
      <c r="A66" s="180"/>
      <c r="B66" s="187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9"/>
      <c r="Q66" s="189"/>
      <c r="R66" s="188"/>
      <c r="S66" s="188"/>
      <c r="T66" s="189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3"/>
    </row>
    <row r="67" spans="1:35" s="119" customFormat="1" ht="15.75">
      <c r="A67" s="273"/>
      <c r="B67" s="274" t="s">
        <v>65</v>
      </c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186">
        <f>Q61+Q54</f>
        <v>6.894908077249273</v>
      </c>
      <c r="R67" s="186">
        <f>R61+R54</f>
        <v>0</v>
      </c>
      <c r="S67" s="186">
        <f>S61+S54</f>
        <v>3.2214559961032685</v>
      </c>
      <c r="T67" s="186">
        <f>T61+T54</f>
        <v>3.209084965280544</v>
      </c>
      <c r="U67" s="186">
        <f>U61+U54</f>
        <v>0.4643671158654607</v>
      </c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6"/>
    </row>
    <row r="68" spans="1:35" ht="15.75">
      <c r="A68" s="31"/>
      <c r="B68" s="33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32"/>
      <c r="R68" s="29"/>
      <c r="S68" s="32"/>
      <c r="T68" s="32"/>
      <c r="U68" s="32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7"/>
    </row>
    <row r="69" spans="1:35" ht="15.75">
      <c r="A69" s="21" t="s">
        <v>429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29.25" customHeight="1">
      <c r="A71" s="292" t="s">
        <v>4</v>
      </c>
      <c r="B71" s="292" t="s">
        <v>41</v>
      </c>
      <c r="C71" s="292" t="s">
        <v>42</v>
      </c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 t="s">
        <v>43</v>
      </c>
      <c r="R71" s="292"/>
      <c r="S71" s="292"/>
      <c r="T71" s="292"/>
      <c r="U71" s="292"/>
      <c r="V71" s="292" t="s">
        <v>44</v>
      </c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</row>
    <row r="72" spans="1:35" ht="30.75" customHeight="1">
      <c r="A72" s="292"/>
      <c r="B72" s="292"/>
      <c r="C72" s="292" t="s">
        <v>45</v>
      </c>
      <c r="D72" s="292"/>
      <c r="E72" s="292"/>
      <c r="F72" s="292"/>
      <c r="G72" s="292" t="s">
        <v>46</v>
      </c>
      <c r="H72" s="292"/>
      <c r="I72" s="292"/>
      <c r="J72" s="292"/>
      <c r="K72" s="292" t="s">
        <v>47</v>
      </c>
      <c r="L72" s="292"/>
      <c r="M72" s="292"/>
      <c r="N72" s="292"/>
      <c r="O72" s="292"/>
      <c r="P72" s="156" t="s">
        <v>48</v>
      </c>
      <c r="Q72" s="292"/>
      <c r="R72" s="292"/>
      <c r="S72" s="292"/>
      <c r="T72" s="292"/>
      <c r="U72" s="292"/>
      <c r="V72" s="292" t="s">
        <v>45</v>
      </c>
      <c r="W72" s="292"/>
      <c r="X72" s="292"/>
      <c r="Y72" s="292"/>
      <c r="Z72" s="292" t="s">
        <v>46</v>
      </c>
      <c r="AA72" s="292"/>
      <c r="AB72" s="292"/>
      <c r="AC72" s="292"/>
      <c r="AD72" s="292" t="s">
        <v>47</v>
      </c>
      <c r="AE72" s="292"/>
      <c r="AF72" s="292"/>
      <c r="AG72" s="292"/>
      <c r="AH72" s="292"/>
      <c r="AI72" s="156" t="s">
        <v>48</v>
      </c>
    </row>
    <row r="73" spans="1:35" ht="83.25" customHeight="1">
      <c r="A73" s="156"/>
      <c r="B73" s="156" t="s">
        <v>19</v>
      </c>
      <c r="C73" s="158" t="s">
        <v>49</v>
      </c>
      <c r="D73" s="158" t="s">
        <v>50</v>
      </c>
      <c r="E73" s="158" t="s">
        <v>51</v>
      </c>
      <c r="F73" s="158" t="s">
        <v>52</v>
      </c>
      <c r="G73" s="158" t="s">
        <v>49</v>
      </c>
      <c r="H73" s="158" t="s">
        <v>50</v>
      </c>
      <c r="I73" s="158" t="s">
        <v>53</v>
      </c>
      <c r="J73" s="158" t="s">
        <v>54</v>
      </c>
      <c r="K73" s="158" t="s">
        <v>49</v>
      </c>
      <c r="L73" s="158" t="s">
        <v>50</v>
      </c>
      <c r="M73" s="158" t="s">
        <v>55</v>
      </c>
      <c r="N73" s="158" t="s">
        <v>56</v>
      </c>
      <c r="O73" s="158" t="s">
        <v>57</v>
      </c>
      <c r="P73" s="158"/>
      <c r="Q73" s="158" t="s">
        <v>58</v>
      </c>
      <c r="R73" s="158" t="s">
        <v>26</v>
      </c>
      <c r="S73" s="158" t="s">
        <v>27</v>
      </c>
      <c r="T73" s="158" t="s">
        <v>59</v>
      </c>
      <c r="U73" s="158" t="s">
        <v>60</v>
      </c>
      <c r="V73" s="158" t="s">
        <v>49</v>
      </c>
      <c r="W73" s="158" t="s">
        <v>50</v>
      </c>
      <c r="X73" s="158" t="s">
        <v>51</v>
      </c>
      <c r="Y73" s="158" t="s">
        <v>52</v>
      </c>
      <c r="Z73" s="158" t="s">
        <v>49</v>
      </c>
      <c r="AA73" s="158" t="s">
        <v>50</v>
      </c>
      <c r="AB73" s="158" t="s">
        <v>53</v>
      </c>
      <c r="AC73" s="158" t="s">
        <v>54</v>
      </c>
      <c r="AD73" s="158" t="s">
        <v>49</v>
      </c>
      <c r="AE73" s="158" t="s">
        <v>50</v>
      </c>
      <c r="AF73" s="158" t="s">
        <v>55</v>
      </c>
      <c r="AG73" s="158" t="s">
        <v>56</v>
      </c>
      <c r="AH73" s="158" t="s">
        <v>57</v>
      </c>
      <c r="AI73" s="158"/>
    </row>
    <row r="74" spans="1:35" ht="47.25">
      <c r="A74" s="159" t="s">
        <v>20</v>
      </c>
      <c r="B74" s="156" t="s">
        <v>21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2">
        <f>Q75</f>
        <v>0.7263988285355827</v>
      </c>
      <c r="R74" s="162">
        <f>R75</f>
        <v>0</v>
      </c>
      <c r="S74" s="162">
        <f>S75</f>
        <v>0.11323054140023509</v>
      </c>
      <c r="T74" s="162">
        <f>T75</f>
        <v>0.6131682871353475</v>
      </c>
      <c r="U74" s="162">
        <f>U75</f>
        <v>0</v>
      </c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</row>
    <row r="75" spans="1:35" ht="45.75" customHeight="1">
      <c r="A75" s="159" t="s">
        <v>199</v>
      </c>
      <c r="B75" s="168" t="s">
        <v>446</v>
      </c>
      <c r="C75" s="160"/>
      <c r="D75" s="160"/>
      <c r="E75" s="160"/>
      <c r="F75" s="160"/>
      <c r="G75" s="158">
        <f>G55</f>
        <v>1976</v>
      </c>
      <c r="H75" s="158">
        <f>H55</f>
        <v>25</v>
      </c>
      <c r="I75" s="158" t="str">
        <f>I55</f>
        <v>2 ТМ-400 кВА</v>
      </c>
      <c r="J75" s="158">
        <f>J55</f>
        <v>0.8</v>
      </c>
      <c r="K75" s="160"/>
      <c r="L75" s="160"/>
      <c r="M75" s="160"/>
      <c r="N75" s="160"/>
      <c r="O75" s="160"/>
      <c r="P75" s="160"/>
      <c r="Q75" s="166">
        <f>R75+S75+T75</f>
        <v>0.7263988285355827</v>
      </c>
      <c r="R75" s="166"/>
      <c r="S75" s="166">
        <f>'сметная стоимость работ'!$Q$16*'сметная стоимость работ'!U16</f>
        <v>0.11323054140023509</v>
      </c>
      <c r="T75" s="166">
        <f>'сметная стоимость работ'!$Q$16*'сметная стоимость работ'!V16</f>
        <v>0.6131682871353475</v>
      </c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</row>
    <row r="76" spans="1:35" ht="141.75">
      <c r="A76" s="159" t="s">
        <v>33</v>
      </c>
      <c r="B76" s="156" t="s">
        <v>34</v>
      </c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</row>
    <row r="77" spans="1:35" ht="15.75">
      <c r="A77" s="180"/>
      <c r="B77" s="181"/>
      <c r="C77" s="182"/>
      <c r="D77" s="182"/>
      <c r="E77" s="182"/>
      <c r="F77" s="182"/>
      <c r="G77" s="182"/>
      <c r="H77" s="182"/>
      <c r="I77" s="182"/>
      <c r="J77" s="182"/>
      <c r="K77" s="179"/>
      <c r="L77" s="179"/>
      <c r="M77" s="183"/>
      <c r="N77" s="183"/>
      <c r="O77" s="179"/>
      <c r="P77" s="182"/>
      <c r="Q77" s="184"/>
      <c r="R77" s="185"/>
      <c r="S77" s="184"/>
      <c r="T77" s="184"/>
      <c r="U77" s="184"/>
      <c r="V77" s="182"/>
      <c r="W77" s="182"/>
      <c r="X77" s="182"/>
      <c r="Y77" s="182"/>
      <c r="Z77" s="182"/>
      <c r="AA77" s="182"/>
      <c r="AB77" s="182"/>
      <c r="AC77" s="182"/>
      <c r="AD77" s="179"/>
      <c r="AE77" s="179"/>
      <c r="AF77" s="183"/>
      <c r="AG77" s="183"/>
      <c r="AH77" s="179"/>
      <c r="AI77" s="182"/>
    </row>
    <row r="78" spans="1:35" ht="15.75">
      <c r="A78" s="163"/>
      <c r="B78" s="167" t="s">
        <v>61</v>
      </c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</row>
    <row r="79" spans="1:35" ht="15.75">
      <c r="A79" s="180"/>
      <c r="B79" s="183" t="s">
        <v>30</v>
      </c>
      <c r="C79" s="182"/>
      <c r="D79" s="182"/>
      <c r="E79" s="182"/>
      <c r="F79" s="182"/>
      <c r="G79" s="179"/>
      <c r="H79" s="179"/>
      <c r="I79" s="179"/>
      <c r="J79" s="179"/>
      <c r="K79" s="182"/>
      <c r="L79" s="182"/>
      <c r="M79" s="182"/>
      <c r="N79" s="182"/>
      <c r="O79" s="182"/>
      <c r="P79" s="182"/>
      <c r="Q79" s="184"/>
      <c r="R79" s="182"/>
      <c r="S79" s="184"/>
      <c r="T79" s="184"/>
      <c r="U79" s="184"/>
      <c r="V79" s="182"/>
      <c r="W79" s="182"/>
      <c r="X79" s="182"/>
      <c r="Y79" s="182"/>
      <c r="Z79" s="179"/>
      <c r="AA79" s="179"/>
      <c r="AB79" s="179"/>
      <c r="AC79" s="179"/>
      <c r="AD79" s="182"/>
      <c r="AE79" s="182"/>
      <c r="AF79" s="182"/>
      <c r="AG79" s="182"/>
      <c r="AH79" s="182"/>
      <c r="AI79" s="182"/>
    </row>
    <row r="80" spans="1:35" ht="15.75">
      <c r="A80" s="159" t="s">
        <v>62</v>
      </c>
      <c r="B80" s="160" t="s">
        <v>63</v>
      </c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62">
        <f aca="true" t="shared" si="5" ref="Q80:U81">Q81</f>
        <v>6.414231059172547</v>
      </c>
      <c r="R80" s="162">
        <f t="shared" si="5"/>
        <v>0</v>
      </c>
      <c r="S80" s="162">
        <f t="shared" si="5"/>
        <v>3.223032206411293</v>
      </c>
      <c r="T80" s="162">
        <f t="shared" si="5"/>
        <v>2.710282549125687</v>
      </c>
      <c r="U80" s="162">
        <f t="shared" si="5"/>
        <v>0.4809163036355666</v>
      </c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</row>
    <row r="81" spans="1:35" ht="63">
      <c r="A81" s="159" t="s">
        <v>64</v>
      </c>
      <c r="B81" s="156" t="s">
        <v>23</v>
      </c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62">
        <f t="shared" si="5"/>
        <v>6.414231059172547</v>
      </c>
      <c r="R81" s="162">
        <f t="shared" si="5"/>
        <v>0</v>
      </c>
      <c r="S81" s="162">
        <f t="shared" si="5"/>
        <v>3.223032206411293</v>
      </c>
      <c r="T81" s="162">
        <f t="shared" si="5"/>
        <v>2.710282549125687</v>
      </c>
      <c r="U81" s="162">
        <f t="shared" si="5"/>
        <v>0.4809163036355666</v>
      </c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</row>
    <row r="82" spans="1:35" ht="47.25">
      <c r="A82" s="159"/>
      <c r="B82" s="168" t="s">
        <v>441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66">
        <f>'сметная стоимость работ'!Q17</f>
        <v>6.414231059172547</v>
      </c>
      <c r="R82" s="166"/>
      <c r="S82" s="166">
        <f>('сметная стоимость работ'!Q20*'сметная стоимость работ'!U20+'сметная стоимость работ'!Q21*'сметная стоимость работ'!U21)</f>
        <v>3.223032206411293</v>
      </c>
      <c r="T82" s="166">
        <f>Q82-U82-S82</f>
        <v>2.710282549125687</v>
      </c>
      <c r="U82" s="166">
        <f>'сметная стоимость работ'!Q22+'сметная стоимость работ'!Q23</f>
        <v>0.4809163036355666</v>
      </c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</row>
    <row r="83" spans="1:35" ht="15.75">
      <c r="A83" s="159"/>
      <c r="B83" s="164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</row>
    <row r="84" spans="1:35" ht="15.75">
      <c r="A84" s="180" t="s">
        <v>37</v>
      </c>
      <c r="B84" s="187" t="s">
        <v>38</v>
      </c>
      <c r="C84" s="179"/>
      <c r="D84" s="179"/>
      <c r="E84" s="179"/>
      <c r="F84" s="179"/>
      <c r="G84" s="179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</row>
    <row r="85" spans="1:35" ht="15.75">
      <c r="A85" s="180"/>
      <c r="B85" s="187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9"/>
      <c r="Q85" s="189"/>
      <c r="R85" s="188"/>
      <c r="S85" s="188"/>
      <c r="T85" s="189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3"/>
    </row>
    <row r="86" spans="1:35" ht="15.75">
      <c r="A86" s="180"/>
      <c r="B86" s="187" t="s">
        <v>65</v>
      </c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6">
        <f>Q80+Q74</f>
        <v>7.14062988770813</v>
      </c>
      <c r="R86" s="186">
        <f>R80+R74</f>
        <v>0</v>
      </c>
      <c r="S86" s="186">
        <f>S80+S74</f>
        <v>3.336262747811528</v>
      </c>
      <c r="T86" s="186">
        <f>T80+T74</f>
        <v>3.3234508362610344</v>
      </c>
      <c r="U86" s="186">
        <f>U80+U74</f>
        <v>0.4809163036355666</v>
      </c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3"/>
    </row>
    <row r="87" spans="1:35" ht="15.75">
      <c r="A87" s="21" t="s">
        <v>430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ht="31.5" customHeight="1">
      <c r="A89" s="292" t="s">
        <v>4</v>
      </c>
      <c r="B89" s="292" t="s">
        <v>41</v>
      </c>
      <c r="C89" s="292" t="s">
        <v>42</v>
      </c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 t="s">
        <v>43</v>
      </c>
      <c r="R89" s="292"/>
      <c r="S89" s="292"/>
      <c r="T89" s="292"/>
      <c r="U89" s="292"/>
      <c r="V89" s="292" t="s">
        <v>44</v>
      </c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</row>
    <row r="90" spans="1:35" ht="30.75" customHeight="1">
      <c r="A90" s="292"/>
      <c r="B90" s="292"/>
      <c r="C90" s="292" t="s">
        <v>45</v>
      </c>
      <c r="D90" s="292"/>
      <c r="E90" s="292"/>
      <c r="F90" s="292"/>
      <c r="G90" s="292" t="s">
        <v>46</v>
      </c>
      <c r="H90" s="292"/>
      <c r="I90" s="292"/>
      <c r="J90" s="292"/>
      <c r="K90" s="292" t="s">
        <v>47</v>
      </c>
      <c r="L90" s="292"/>
      <c r="M90" s="292"/>
      <c r="N90" s="292"/>
      <c r="O90" s="292"/>
      <c r="P90" s="156" t="s">
        <v>48</v>
      </c>
      <c r="Q90" s="292"/>
      <c r="R90" s="292"/>
      <c r="S90" s="292"/>
      <c r="T90" s="292"/>
      <c r="U90" s="292"/>
      <c r="V90" s="292" t="s">
        <v>45</v>
      </c>
      <c r="W90" s="292"/>
      <c r="X90" s="292"/>
      <c r="Y90" s="292"/>
      <c r="Z90" s="292" t="s">
        <v>46</v>
      </c>
      <c r="AA90" s="292"/>
      <c r="AB90" s="292"/>
      <c r="AC90" s="292"/>
      <c r="AD90" s="292" t="s">
        <v>47</v>
      </c>
      <c r="AE90" s="292"/>
      <c r="AF90" s="292"/>
      <c r="AG90" s="292"/>
      <c r="AH90" s="292"/>
      <c r="AI90" s="156" t="s">
        <v>48</v>
      </c>
    </row>
    <row r="91" spans="1:35" ht="123" customHeight="1">
      <c r="A91" s="156"/>
      <c r="B91" s="156" t="s">
        <v>19</v>
      </c>
      <c r="C91" s="158" t="s">
        <v>49</v>
      </c>
      <c r="D91" s="158" t="s">
        <v>50</v>
      </c>
      <c r="E91" s="158" t="s">
        <v>51</v>
      </c>
      <c r="F91" s="158" t="s">
        <v>52</v>
      </c>
      <c r="G91" s="158" t="s">
        <v>49</v>
      </c>
      <c r="H91" s="158" t="s">
        <v>50</v>
      </c>
      <c r="I91" s="158" t="s">
        <v>53</v>
      </c>
      <c r="J91" s="158" t="s">
        <v>54</v>
      </c>
      <c r="K91" s="158" t="s">
        <v>49</v>
      </c>
      <c r="L91" s="158" t="s">
        <v>50</v>
      </c>
      <c r="M91" s="158" t="s">
        <v>55</v>
      </c>
      <c r="N91" s="158" t="s">
        <v>56</v>
      </c>
      <c r="O91" s="158" t="s">
        <v>57</v>
      </c>
      <c r="P91" s="158"/>
      <c r="Q91" s="158" t="s">
        <v>58</v>
      </c>
      <c r="R91" s="158" t="s">
        <v>26</v>
      </c>
      <c r="S91" s="158" t="s">
        <v>27</v>
      </c>
      <c r="T91" s="158" t="s">
        <v>59</v>
      </c>
      <c r="U91" s="158" t="s">
        <v>60</v>
      </c>
      <c r="V91" s="158" t="s">
        <v>49</v>
      </c>
      <c r="W91" s="158" t="s">
        <v>50</v>
      </c>
      <c r="X91" s="158" t="s">
        <v>51</v>
      </c>
      <c r="Y91" s="158" t="s">
        <v>52</v>
      </c>
      <c r="Z91" s="158" t="s">
        <v>49</v>
      </c>
      <c r="AA91" s="158" t="s">
        <v>50</v>
      </c>
      <c r="AB91" s="158" t="s">
        <v>53</v>
      </c>
      <c r="AC91" s="158" t="s">
        <v>54</v>
      </c>
      <c r="AD91" s="158" t="s">
        <v>49</v>
      </c>
      <c r="AE91" s="158" t="s">
        <v>50</v>
      </c>
      <c r="AF91" s="158" t="s">
        <v>55</v>
      </c>
      <c r="AG91" s="158" t="s">
        <v>56</v>
      </c>
      <c r="AH91" s="158" t="s">
        <v>57</v>
      </c>
      <c r="AI91" s="158"/>
    </row>
    <row r="92" spans="1:35" ht="47.25">
      <c r="A92" s="159" t="s">
        <v>20</v>
      </c>
      <c r="B92" s="156" t="s">
        <v>21</v>
      </c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2">
        <f>Q93</f>
        <v>0.7522863433890281</v>
      </c>
      <c r="R92" s="162">
        <f>R93</f>
        <v>0</v>
      </c>
      <c r="S92" s="162">
        <f>S93</f>
        <v>0.11726586911169584</v>
      </c>
      <c r="T92" s="162">
        <f>T93</f>
        <v>0.6350204742773323</v>
      </c>
      <c r="U92" s="162">
        <f>U93</f>
        <v>0</v>
      </c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</row>
    <row r="93" spans="1:35" ht="31.5">
      <c r="A93" s="159" t="s">
        <v>199</v>
      </c>
      <c r="B93" s="168" t="s">
        <v>446</v>
      </c>
      <c r="C93" s="160"/>
      <c r="D93" s="160"/>
      <c r="E93" s="160"/>
      <c r="F93" s="160"/>
      <c r="G93" s="158">
        <f>G75</f>
        <v>1976</v>
      </c>
      <c r="H93" s="158">
        <f>H75</f>
        <v>25</v>
      </c>
      <c r="I93" s="158" t="str">
        <f>I75</f>
        <v>2 ТМ-400 кВА</v>
      </c>
      <c r="J93" s="158">
        <f>J75</f>
        <v>0.8</v>
      </c>
      <c r="K93" s="160"/>
      <c r="L93" s="160"/>
      <c r="M93" s="160"/>
      <c r="N93" s="160"/>
      <c r="O93" s="160"/>
      <c r="P93" s="160"/>
      <c r="Q93" s="166">
        <f>R93+S93+T93</f>
        <v>0.7522863433890281</v>
      </c>
      <c r="R93" s="166"/>
      <c r="S93" s="166">
        <f>'сметная стоимость работ'!$R$16*'сметная стоимость работ'!U16</f>
        <v>0.11726586911169584</v>
      </c>
      <c r="T93" s="166">
        <f>'сметная стоимость работ'!$R$16*'сметная стоимость работ'!V16</f>
        <v>0.6350204742773323</v>
      </c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</row>
    <row r="94" spans="1:35" ht="141.75">
      <c r="A94" s="159" t="s">
        <v>33</v>
      </c>
      <c r="B94" s="156" t="s">
        <v>34</v>
      </c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</row>
    <row r="95" spans="1:35" ht="15.75">
      <c r="A95" s="180"/>
      <c r="B95" s="181"/>
      <c r="C95" s="182"/>
      <c r="D95" s="182"/>
      <c r="E95" s="182"/>
      <c r="F95" s="182"/>
      <c r="G95" s="182"/>
      <c r="H95" s="182"/>
      <c r="I95" s="182"/>
      <c r="J95" s="182"/>
      <c r="K95" s="179"/>
      <c r="L95" s="179"/>
      <c r="M95" s="183"/>
      <c r="N95" s="183"/>
      <c r="O95" s="179"/>
      <c r="P95" s="182"/>
      <c r="Q95" s="184"/>
      <c r="R95" s="185"/>
      <c r="S95" s="184"/>
      <c r="T95" s="184"/>
      <c r="U95" s="184"/>
      <c r="V95" s="182"/>
      <c r="W95" s="182"/>
      <c r="X95" s="182"/>
      <c r="Y95" s="182"/>
      <c r="Z95" s="182"/>
      <c r="AA95" s="182"/>
      <c r="AB95" s="182"/>
      <c r="AC95" s="182"/>
      <c r="AD95" s="179"/>
      <c r="AE95" s="179"/>
      <c r="AF95" s="183"/>
      <c r="AG95" s="183"/>
      <c r="AH95" s="179"/>
      <c r="AI95" s="182"/>
    </row>
    <row r="96" spans="1:35" ht="15.75">
      <c r="A96" s="163"/>
      <c r="B96" s="167" t="s">
        <v>61</v>
      </c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</row>
    <row r="97" spans="1:35" ht="15.75">
      <c r="A97" s="180"/>
      <c r="B97" s="183" t="s">
        <v>30</v>
      </c>
      <c r="C97" s="182"/>
      <c r="D97" s="182"/>
      <c r="E97" s="182"/>
      <c r="F97" s="182"/>
      <c r="G97" s="179"/>
      <c r="H97" s="179"/>
      <c r="I97" s="179"/>
      <c r="J97" s="179"/>
      <c r="K97" s="182"/>
      <c r="L97" s="182"/>
      <c r="M97" s="182"/>
      <c r="N97" s="182"/>
      <c r="O97" s="182"/>
      <c r="P97" s="182"/>
      <c r="Q97" s="184"/>
      <c r="R97" s="182"/>
      <c r="S97" s="184"/>
      <c r="T97" s="184"/>
      <c r="U97" s="184"/>
      <c r="V97" s="182"/>
      <c r="W97" s="182"/>
      <c r="X97" s="182"/>
      <c r="Y97" s="182"/>
      <c r="Z97" s="179"/>
      <c r="AA97" s="179"/>
      <c r="AB97" s="179"/>
      <c r="AC97" s="179"/>
      <c r="AD97" s="182"/>
      <c r="AE97" s="182"/>
      <c r="AF97" s="182"/>
      <c r="AG97" s="182"/>
      <c r="AH97" s="182"/>
      <c r="AI97" s="182"/>
    </row>
    <row r="98" spans="1:35" ht="15.75">
      <c r="A98" s="159" t="s">
        <v>62</v>
      </c>
      <c r="B98" s="160" t="s">
        <v>63</v>
      </c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62">
        <f aca="true" t="shared" si="6" ref="Q98:U99">Q99</f>
        <v>6.842346476391879</v>
      </c>
      <c r="R98" s="162">
        <f t="shared" si="6"/>
        <v>0</v>
      </c>
      <c r="S98" s="162">
        <f t="shared" si="6"/>
        <v>3.440557665328531</v>
      </c>
      <c r="T98" s="162">
        <f t="shared" si="6"/>
        <v>2.893202053969975</v>
      </c>
      <c r="U98" s="162">
        <f t="shared" si="6"/>
        <v>0.5085867570933725</v>
      </c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</row>
    <row r="99" spans="1:35" ht="63">
      <c r="A99" s="159" t="s">
        <v>64</v>
      </c>
      <c r="B99" s="156" t="s">
        <v>23</v>
      </c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62">
        <f t="shared" si="6"/>
        <v>6.842346476391879</v>
      </c>
      <c r="R99" s="162">
        <f t="shared" si="6"/>
        <v>0</v>
      </c>
      <c r="S99" s="162">
        <f t="shared" si="6"/>
        <v>3.440557665328531</v>
      </c>
      <c r="T99" s="162">
        <f t="shared" si="6"/>
        <v>2.893202053969975</v>
      </c>
      <c r="U99" s="162">
        <f t="shared" si="6"/>
        <v>0.5085867570933725</v>
      </c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</row>
    <row r="100" spans="1:35" ht="47.25">
      <c r="A100" s="159"/>
      <c r="B100" s="168" t="s">
        <v>441</v>
      </c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66">
        <f>'сметная стоимость работ'!R17</f>
        <v>6.842346476391879</v>
      </c>
      <c r="R100" s="166"/>
      <c r="S100" s="166">
        <f>'сметная стоимость работ'!R20*'сметная стоимость работ'!U20+'сметная стоимость работ'!R21*'сметная стоимость работ'!U21</f>
        <v>3.440557665328531</v>
      </c>
      <c r="T100" s="166">
        <f>Q100-S100-U100</f>
        <v>2.893202053969975</v>
      </c>
      <c r="U100" s="166">
        <f>'сметная стоимость работ'!R23+'сметная стоимость работ'!R22</f>
        <v>0.5085867570933725</v>
      </c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</row>
    <row r="101" spans="1:35" ht="15.75">
      <c r="A101" s="159"/>
      <c r="B101" s="164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</row>
    <row r="102" spans="1:35" ht="15.75">
      <c r="A102" s="180" t="s">
        <v>37</v>
      </c>
      <c r="B102" s="187" t="s">
        <v>38</v>
      </c>
      <c r="C102" s="179"/>
      <c r="D102" s="179"/>
      <c r="E102" s="179"/>
      <c r="F102" s="179"/>
      <c r="G102" s="179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</row>
    <row r="103" spans="1:35" ht="15.75">
      <c r="A103" s="180"/>
      <c r="B103" s="187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9"/>
      <c r="Q103" s="189"/>
      <c r="R103" s="188"/>
      <c r="S103" s="188"/>
      <c r="T103" s="189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3"/>
    </row>
    <row r="104" spans="1:35" ht="15.75">
      <c r="A104" s="180"/>
      <c r="B104" s="187" t="s">
        <v>65</v>
      </c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6">
        <f>Q98+Q92</f>
        <v>7.594632819780907</v>
      </c>
      <c r="R104" s="186">
        <f>R98+R92</f>
        <v>0</v>
      </c>
      <c r="S104" s="186">
        <f>S98+S92</f>
        <v>3.5578235344402267</v>
      </c>
      <c r="T104" s="186">
        <f>T98+T92</f>
        <v>3.5282225282473076</v>
      </c>
      <c r="U104" s="186">
        <f>U98+U92</f>
        <v>0.5085867570933725</v>
      </c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3"/>
    </row>
  </sheetData>
  <sheetProtection selectLockedCells="1" selectUnlockedCells="1"/>
  <mergeCells count="61">
    <mergeCell ref="Z52:AC52"/>
    <mergeCell ref="V12:Y12"/>
    <mergeCell ref="AD72:AH72"/>
    <mergeCell ref="V52:Y52"/>
    <mergeCell ref="V11:AI11"/>
    <mergeCell ref="A31:A32"/>
    <mergeCell ref="B31:B32"/>
    <mergeCell ref="C31:P31"/>
    <mergeCell ref="Q31:U31"/>
    <mergeCell ref="Q52:U52"/>
    <mergeCell ref="Q32:U32"/>
    <mergeCell ref="A51:A52"/>
    <mergeCell ref="B51:B52"/>
    <mergeCell ref="C51:P51"/>
    <mergeCell ref="Q51:U51"/>
    <mergeCell ref="V51:AI51"/>
    <mergeCell ref="K12:O12"/>
    <mergeCell ref="AD52:AH52"/>
    <mergeCell ref="C32:F32"/>
    <mergeCell ref="G32:J32"/>
    <mergeCell ref="K32:O32"/>
    <mergeCell ref="G72:J72"/>
    <mergeCell ref="K72:O72"/>
    <mergeCell ref="Q72:U72"/>
    <mergeCell ref="Z12:AC12"/>
    <mergeCell ref="AD12:AH12"/>
    <mergeCell ref="V32:Y32"/>
    <mergeCell ref="Z32:AC32"/>
    <mergeCell ref="V31:AI31"/>
    <mergeCell ref="Z72:AC72"/>
    <mergeCell ref="Q12:U12"/>
    <mergeCell ref="C72:F72"/>
    <mergeCell ref="A11:A12"/>
    <mergeCell ref="B11:B12"/>
    <mergeCell ref="C11:P11"/>
    <mergeCell ref="Q11:U11"/>
    <mergeCell ref="C52:F52"/>
    <mergeCell ref="G52:J52"/>
    <mergeCell ref="K52:O52"/>
    <mergeCell ref="C12:F12"/>
    <mergeCell ref="G12:J12"/>
    <mergeCell ref="AD90:AH90"/>
    <mergeCell ref="C90:F90"/>
    <mergeCell ref="G90:J90"/>
    <mergeCell ref="K90:O90"/>
    <mergeCell ref="AD32:AH32"/>
    <mergeCell ref="A71:A72"/>
    <mergeCell ref="B71:B72"/>
    <mergeCell ref="C71:P71"/>
    <mergeCell ref="Q71:U71"/>
    <mergeCell ref="V71:AI71"/>
    <mergeCell ref="AB1:AE2"/>
    <mergeCell ref="Q90:U90"/>
    <mergeCell ref="V90:Y90"/>
    <mergeCell ref="Z90:AC90"/>
    <mergeCell ref="V72:Y72"/>
    <mergeCell ref="A89:A90"/>
    <mergeCell ref="B89:B90"/>
    <mergeCell ref="C89:P89"/>
    <mergeCell ref="Q89:U89"/>
    <mergeCell ref="V89:AI89"/>
  </mergeCells>
  <printOptions/>
  <pageMargins left="0.39375" right="0.31527777777777777" top="0.8020833333333334" bottom="0.2222222222222222" header="0.5118055555555555" footer="0.5118055555555555"/>
  <pageSetup fitToHeight="8" horizontalDpi="300" verticalDpi="300" orientation="landscape" paperSize="9" scale="50" r:id="rId1"/>
  <rowBreaks count="4" manualBreakCount="4">
    <brk id="28" max="255" man="1"/>
    <brk id="47" max="255" man="1"/>
    <brk id="68" max="255" man="1"/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"/>
  <sheetViews>
    <sheetView view="pageBreakPreview" zoomScale="80" zoomScaleNormal="50" zoomScaleSheetLayoutView="80" zoomScalePageLayoutView="0" workbookViewId="0" topLeftCell="A1">
      <selection activeCell="L23" sqref="L23"/>
    </sheetView>
  </sheetViews>
  <sheetFormatPr defaultColWidth="1.00390625" defaultRowHeight="12.75"/>
  <cols>
    <col min="1" max="1" width="8.00390625" style="49" customWidth="1"/>
    <col min="2" max="2" width="42.125" style="49" customWidth="1"/>
    <col min="3" max="14" width="7.75390625" style="49" customWidth="1"/>
    <col min="15" max="255" width="1.00390625" style="49" customWidth="1"/>
    <col min="256" max="16384" width="1.00390625" style="50" customWidth="1"/>
  </cols>
  <sheetData>
    <row r="1" spans="1:256" ht="55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297"/>
      <c r="L1" s="297"/>
      <c r="M1" s="297"/>
      <c r="N1" s="297"/>
      <c r="IV1" s="52"/>
    </row>
    <row r="2" spans="1:256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IV2" s="52"/>
    </row>
    <row r="3" spans="1:256" ht="24.75" customHeight="1">
      <c r="A3" s="51"/>
      <c r="B3" s="51"/>
      <c r="C3" s="51"/>
      <c r="D3" s="51"/>
      <c r="E3" s="51"/>
      <c r="F3" s="51"/>
      <c r="G3" s="51"/>
      <c r="H3" s="51"/>
      <c r="I3" s="51"/>
      <c r="J3" s="53" t="s">
        <v>0</v>
      </c>
      <c r="K3" s="53"/>
      <c r="L3" s="53"/>
      <c r="M3" s="51"/>
      <c r="N3" s="54"/>
      <c r="IV3" s="52"/>
    </row>
    <row r="4" spans="1:256" ht="15.75">
      <c r="A4" s="51"/>
      <c r="B4" s="51"/>
      <c r="C4" s="51"/>
      <c r="D4" s="51"/>
      <c r="E4" s="51"/>
      <c r="F4" s="51"/>
      <c r="G4" s="51"/>
      <c r="H4" s="51"/>
      <c r="I4" s="51"/>
      <c r="J4" s="53"/>
      <c r="K4" s="53"/>
      <c r="L4" s="53"/>
      <c r="M4" s="51"/>
      <c r="N4" s="55"/>
      <c r="IV4" s="52"/>
    </row>
    <row r="5" spans="1:256" ht="15.75">
      <c r="A5" s="51"/>
      <c r="B5" s="51"/>
      <c r="C5" s="51"/>
      <c r="D5" s="51"/>
      <c r="E5" s="51"/>
      <c r="F5" s="51"/>
      <c r="G5" s="51"/>
      <c r="H5" s="51"/>
      <c r="I5" s="51"/>
      <c r="J5" s="53" t="s">
        <v>1</v>
      </c>
      <c r="K5" s="53"/>
      <c r="L5" s="53"/>
      <c r="M5" s="51"/>
      <c r="N5" s="56"/>
      <c r="IV5" s="52"/>
    </row>
    <row r="6" spans="1:14" s="52" customFormat="1" ht="15.75">
      <c r="A6" s="51"/>
      <c r="B6" s="51"/>
      <c r="C6" s="51"/>
      <c r="D6" s="51"/>
      <c r="E6" s="51"/>
      <c r="F6" s="51"/>
      <c r="G6" s="51"/>
      <c r="H6" s="51"/>
      <c r="I6" s="51"/>
      <c r="J6" s="53"/>
      <c r="K6" s="53"/>
      <c r="L6" s="53"/>
      <c r="M6" s="51"/>
      <c r="N6" s="57"/>
    </row>
    <row r="7" spans="1:14" s="52" customFormat="1" ht="35.25" customHeight="1">
      <c r="A7" s="51"/>
      <c r="B7" s="51"/>
      <c r="C7" s="51"/>
      <c r="D7" s="51"/>
      <c r="E7" s="51"/>
      <c r="F7" s="51"/>
      <c r="G7" s="51"/>
      <c r="H7" s="51"/>
      <c r="I7" s="51"/>
      <c r="J7" s="53" t="s">
        <v>2</v>
      </c>
      <c r="K7" s="53"/>
      <c r="L7" s="53"/>
      <c r="M7" s="51"/>
      <c r="N7" s="57"/>
    </row>
    <row r="8" spans="2:14" s="51" customFormat="1" ht="15.75">
      <c r="B8" s="58"/>
      <c r="C8" s="58"/>
      <c r="D8" s="58"/>
      <c r="E8" s="58"/>
      <c r="F8" s="58"/>
      <c r="G8" s="58"/>
      <c r="H8" s="58"/>
      <c r="I8" s="58"/>
      <c r="J8" s="53"/>
      <c r="K8" s="53"/>
      <c r="L8" s="53"/>
      <c r="N8" s="57"/>
    </row>
    <row r="9" spans="1:14" s="62" customFormat="1" ht="18.75">
      <c r="A9" s="59"/>
      <c r="B9" s="59"/>
      <c r="C9" s="60"/>
      <c r="D9" s="60"/>
      <c r="E9" s="60"/>
      <c r="F9" s="60"/>
      <c r="G9" s="60"/>
      <c r="H9" s="60"/>
      <c r="I9" s="60"/>
      <c r="J9" s="8" t="s">
        <v>420</v>
      </c>
      <c r="K9" s="61"/>
      <c r="L9" s="61"/>
      <c r="M9" s="60"/>
      <c r="N9" s="57"/>
    </row>
    <row r="10" spans="1:14" s="62" customFormat="1" ht="15.75">
      <c r="A10" s="63" t="s">
        <v>67</v>
      </c>
      <c r="B10" s="60"/>
      <c r="C10" s="60"/>
      <c r="D10" s="60"/>
      <c r="E10" s="60"/>
      <c r="F10" s="60"/>
      <c r="G10" s="60"/>
      <c r="H10" s="60"/>
      <c r="I10" s="60"/>
      <c r="J10" s="61"/>
      <c r="K10" s="61"/>
      <c r="L10" s="61"/>
      <c r="M10" s="60"/>
      <c r="N10" s="57"/>
    </row>
    <row r="11" spans="1:14" s="62" customFormat="1" ht="15.75">
      <c r="A11" s="63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s="62" customFormat="1" ht="15.75">
      <c r="A12" s="60" t="s">
        <v>68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="62" customFormat="1" ht="15"/>
    <row r="14" spans="1:14" ht="15" customHeight="1">
      <c r="A14" s="298" t="s">
        <v>69</v>
      </c>
      <c r="B14" s="298" t="s">
        <v>70</v>
      </c>
      <c r="C14" s="298" t="s">
        <v>13</v>
      </c>
      <c r="D14" s="298"/>
      <c r="E14" s="298"/>
      <c r="F14" s="298"/>
      <c r="G14" s="298"/>
      <c r="H14" s="298"/>
      <c r="I14" s="298" t="s">
        <v>71</v>
      </c>
      <c r="J14" s="298"/>
      <c r="K14" s="298"/>
      <c r="L14" s="298"/>
      <c r="M14" s="298"/>
      <c r="N14" s="298"/>
    </row>
    <row r="15" spans="1:14" ht="20.25" customHeight="1">
      <c r="A15" s="298"/>
      <c r="B15" s="298"/>
      <c r="C15" s="298" t="s">
        <v>72</v>
      </c>
      <c r="D15" s="298"/>
      <c r="E15" s="298"/>
      <c r="F15" s="298"/>
      <c r="G15" s="298"/>
      <c r="H15" s="298"/>
      <c r="I15" s="298" t="s">
        <v>72</v>
      </c>
      <c r="J15" s="298"/>
      <c r="K15" s="298"/>
      <c r="L15" s="298"/>
      <c r="M15" s="298"/>
      <c r="N15" s="298"/>
    </row>
    <row r="16" spans="1:14" ht="15.75">
      <c r="A16" s="298"/>
      <c r="B16" s="298"/>
      <c r="C16" s="191">
        <v>2018</v>
      </c>
      <c r="D16" s="191">
        <v>2019</v>
      </c>
      <c r="E16" s="191">
        <v>2020</v>
      </c>
      <c r="F16" s="191">
        <v>2021</v>
      </c>
      <c r="G16" s="290">
        <v>2022</v>
      </c>
      <c r="H16" s="191" t="s">
        <v>65</v>
      </c>
      <c r="I16" s="191">
        <v>2018</v>
      </c>
      <c r="J16" s="191">
        <v>2019</v>
      </c>
      <c r="K16" s="191">
        <v>2020</v>
      </c>
      <c r="L16" s="191">
        <v>2021</v>
      </c>
      <c r="M16" s="290">
        <v>2022</v>
      </c>
      <c r="N16" s="191" t="s">
        <v>65</v>
      </c>
    </row>
    <row r="17" spans="1:14" ht="15.75">
      <c r="A17" s="191">
        <v>1</v>
      </c>
      <c r="B17" s="191">
        <v>2</v>
      </c>
      <c r="C17" s="191">
        <v>4</v>
      </c>
      <c r="D17" s="191">
        <v>5</v>
      </c>
      <c r="E17" s="191">
        <v>6</v>
      </c>
      <c r="F17" s="191">
        <v>7</v>
      </c>
      <c r="G17" s="49">
        <v>8</v>
      </c>
      <c r="H17" s="191">
        <v>9</v>
      </c>
      <c r="I17" s="191">
        <v>10</v>
      </c>
      <c r="J17" s="191">
        <v>11</v>
      </c>
      <c r="K17" s="191">
        <v>12</v>
      </c>
      <c r="L17" s="191">
        <v>12</v>
      </c>
      <c r="M17" s="49">
        <v>14</v>
      </c>
      <c r="N17" s="191">
        <v>15</v>
      </c>
    </row>
    <row r="18" spans="1:14" ht="15.75">
      <c r="A18" s="191"/>
      <c r="B18" s="192"/>
      <c r="C18" s="191">
        <v>0</v>
      </c>
      <c r="D18" s="191">
        <v>0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1">
        <v>0</v>
      </c>
      <c r="M18" s="191">
        <v>0</v>
      </c>
      <c r="N18" s="191">
        <v>0</v>
      </c>
    </row>
  </sheetData>
  <sheetProtection selectLockedCells="1" selectUnlockedCells="1"/>
  <mergeCells count="7">
    <mergeCell ref="K1:N1"/>
    <mergeCell ref="A14:A16"/>
    <mergeCell ref="B14:B16"/>
    <mergeCell ref="C14:H14"/>
    <mergeCell ref="I14:N14"/>
    <mergeCell ref="C15:H15"/>
    <mergeCell ref="I15:N15"/>
  </mergeCells>
  <printOptions horizontalCentered="1"/>
  <pageMargins left="0.6673611111111111" right="0.50625" top="1.0972222222222223" bottom="0.39375" header="0.5118055555555555" footer="0.511805555555555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view="pageBreakPreview" zoomScale="70" zoomScaleNormal="50" zoomScaleSheetLayoutView="70" zoomScalePageLayoutView="0" workbookViewId="0" topLeftCell="F1">
      <selection activeCell="O15" sqref="O15:O17"/>
    </sheetView>
  </sheetViews>
  <sheetFormatPr defaultColWidth="11.125" defaultRowHeight="12.75"/>
  <cols>
    <col min="1" max="1" width="6.625" style="2" customWidth="1"/>
    <col min="2" max="2" width="38.125" style="2" customWidth="1"/>
    <col min="3" max="3" width="16.25390625" style="2" customWidth="1"/>
    <col min="4" max="4" width="18.25390625" style="2" customWidth="1"/>
    <col min="5" max="5" width="9.375" style="2" customWidth="1"/>
    <col min="6" max="14" width="10.625" style="2" customWidth="1"/>
    <col min="15" max="16" width="13.75390625" style="2" customWidth="1"/>
    <col min="17" max="17" width="12.25390625" style="2" customWidth="1"/>
    <col min="18" max="20" width="10.625" style="2" customWidth="1"/>
    <col min="21" max="21" width="21.125" style="2" customWidth="1"/>
    <col min="22" max="22" width="12.25390625" style="2" customWidth="1"/>
    <col min="23" max="23" width="20.625" style="2" customWidth="1"/>
    <col min="24" max="25" width="10.625" style="2" customWidth="1"/>
    <col min="26" max="26" width="10.75390625" style="2" customWidth="1"/>
  </cols>
  <sheetData>
    <row r="1" spans="1:26" ht="53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00"/>
      <c r="Z1" s="300"/>
    </row>
    <row r="2" spans="1:26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29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49"/>
      <c r="V3" s="49"/>
      <c r="W3" s="65" t="s">
        <v>0</v>
      </c>
      <c r="X3" s="65"/>
      <c r="Y3" s="66"/>
      <c r="Z3" s="5"/>
    </row>
    <row r="4" spans="1:26" ht="15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49"/>
      <c r="V4" s="49"/>
      <c r="W4" s="65"/>
      <c r="X4" s="65"/>
      <c r="Y4" s="66"/>
      <c r="Z4" s="19"/>
    </row>
    <row r="5" spans="1:26" ht="22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9"/>
      <c r="V5" s="49"/>
      <c r="W5" s="22" t="s">
        <v>1</v>
      </c>
      <c r="X5" s="22"/>
      <c r="Y5" s="23"/>
      <c r="Z5" s="36"/>
    </row>
    <row r="6" spans="1:26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2"/>
      <c r="V6" s="52"/>
      <c r="W6" s="22"/>
      <c r="X6" s="22"/>
      <c r="Y6" s="23"/>
      <c r="Z6" s="24"/>
    </row>
    <row r="7" spans="1:26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2"/>
      <c r="V7" s="52"/>
      <c r="W7" s="22" t="s">
        <v>2</v>
      </c>
      <c r="X7" s="22"/>
      <c r="Y7" s="23"/>
      <c r="Z7" s="24"/>
    </row>
    <row r="8" spans="1:26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2"/>
      <c r="V8" s="52"/>
      <c r="W8" s="22"/>
      <c r="X8" s="22"/>
      <c r="Y8" s="23"/>
      <c r="Z8" s="24"/>
    </row>
    <row r="9" spans="1:26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2"/>
      <c r="V9" s="52"/>
      <c r="W9" s="8" t="s">
        <v>420</v>
      </c>
      <c r="X9" s="22"/>
      <c r="Y9" s="23"/>
      <c r="Z9" s="24"/>
    </row>
    <row r="10" spans="1:26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2"/>
      <c r="V10" s="52"/>
      <c r="Y10" s="67"/>
      <c r="Z10" s="24"/>
    </row>
    <row r="11" spans="1:26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2"/>
      <c r="V11" s="52"/>
      <c r="W11" s="68"/>
      <c r="Y11" s="69"/>
      <c r="Z11" s="37"/>
    </row>
    <row r="12" spans="1:26" ht="15.75" customHeight="1">
      <c r="A12" s="21" t="s">
        <v>73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38"/>
      <c r="V12" s="70"/>
      <c r="W12" s="70"/>
      <c r="X12" s="70"/>
      <c r="Y12" s="71"/>
      <c r="Z12" s="71"/>
    </row>
    <row r="13" spans="1:2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5" spans="1:26" ht="57" customHeight="1">
      <c r="A15" s="299" t="s">
        <v>74</v>
      </c>
      <c r="B15" s="299" t="s">
        <v>75</v>
      </c>
      <c r="C15" s="299" t="s">
        <v>76</v>
      </c>
      <c r="D15" s="299" t="s">
        <v>77</v>
      </c>
      <c r="E15" s="299" t="s">
        <v>78</v>
      </c>
      <c r="F15" s="299"/>
      <c r="G15" s="299"/>
      <c r="H15" s="299" t="s">
        <v>79</v>
      </c>
      <c r="I15" s="299" t="s">
        <v>80</v>
      </c>
      <c r="J15" s="299"/>
      <c r="K15" s="299" t="s">
        <v>81</v>
      </c>
      <c r="L15" s="299"/>
      <c r="M15" s="299"/>
      <c r="N15" s="299"/>
      <c r="O15" s="299" t="s">
        <v>475</v>
      </c>
      <c r="P15" s="299" t="s">
        <v>476</v>
      </c>
      <c r="Q15" s="299" t="s">
        <v>82</v>
      </c>
      <c r="R15" s="299"/>
      <c r="S15" s="299" t="s">
        <v>83</v>
      </c>
      <c r="T15" s="299"/>
      <c r="U15" s="299" t="s">
        <v>84</v>
      </c>
      <c r="V15" s="299"/>
      <c r="W15" s="299"/>
      <c r="X15" s="299" t="s">
        <v>85</v>
      </c>
      <c r="Y15" s="299"/>
      <c r="Z15" s="299"/>
    </row>
    <row r="16" spans="1:26" ht="89.25" customHeight="1">
      <c r="A16" s="299"/>
      <c r="B16" s="299"/>
      <c r="C16" s="299"/>
      <c r="D16" s="299"/>
      <c r="E16" s="299" t="s">
        <v>86</v>
      </c>
      <c r="F16" s="299" t="s">
        <v>87</v>
      </c>
      <c r="G16" s="299" t="s">
        <v>88</v>
      </c>
      <c r="H16" s="299"/>
      <c r="I16" s="299" t="s">
        <v>89</v>
      </c>
      <c r="J16" s="299" t="s">
        <v>90</v>
      </c>
      <c r="K16" s="299" t="s">
        <v>91</v>
      </c>
      <c r="L16" s="299" t="s">
        <v>92</v>
      </c>
      <c r="M16" s="299" t="s">
        <v>93</v>
      </c>
      <c r="N16" s="299" t="s">
        <v>94</v>
      </c>
      <c r="O16" s="299"/>
      <c r="P16" s="299"/>
      <c r="Q16" s="299" t="s">
        <v>95</v>
      </c>
      <c r="R16" s="299" t="s">
        <v>96</v>
      </c>
      <c r="S16" s="299" t="s">
        <v>95</v>
      </c>
      <c r="T16" s="299" t="s">
        <v>96</v>
      </c>
      <c r="U16" s="299" t="s">
        <v>97</v>
      </c>
      <c r="V16" s="299" t="s">
        <v>98</v>
      </c>
      <c r="W16" s="299" t="s">
        <v>99</v>
      </c>
      <c r="X16" s="158" t="s">
        <v>100</v>
      </c>
      <c r="Y16" s="299" t="s">
        <v>101</v>
      </c>
      <c r="Z16" s="299"/>
    </row>
    <row r="17" spans="1:26" ht="89.25" customHeight="1">
      <c r="A17" s="29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158" t="s">
        <v>102</v>
      </c>
      <c r="Y17" s="158" t="s">
        <v>103</v>
      </c>
      <c r="Z17" s="158" t="s">
        <v>104</v>
      </c>
    </row>
    <row r="18" spans="1:26" ht="94.5">
      <c r="A18" s="193">
        <v>1</v>
      </c>
      <c r="B18" s="168" t="s">
        <v>446</v>
      </c>
      <c r="C18" s="195" t="s">
        <v>105</v>
      </c>
      <c r="D18" s="194" t="s">
        <v>106</v>
      </c>
      <c r="E18" s="193"/>
      <c r="F18" s="193"/>
      <c r="G18" s="193"/>
      <c r="H18" s="193"/>
      <c r="I18" s="196" t="s">
        <v>442</v>
      </c>
      <c r="J18" s="196" t="s">
        <v>443</v>
      </c>
      <c r="K18" s="193" t="s">
        <v>107</v>
      </c>
      <c r="L18" s="193" t="s">
        <v>30</v>
      </c>
      <c r="M18" s="193" t="s">
        <v>30</v>
      </c>
      <c r="N18" s="193" t="s">
        <v>30</v>
      </c>
      <c r="O18" s="193">
        <v>0</v>
      </c>
      <c r="P18" s="193">
        <v>0</v>
      </c>
      <c r="Q18" s="197">
        <f>'сметная стоимость работ'!T17</f>
        <v>24.364992102882177</v>
      </c>
      <c r="R18" s="193" t="s">
        <v>30</v>
      </c>
      <c r="S18" s="197">
        <f>Q18</f>
        <v>24.364992102882177</v>
      </c>
      <c r="T18" s="193" t="s">
        <v>30</v>
      </c>
      <c r="U18" s="195" t="s">
        <v>444</v>
      </c>
      <c r="V18" s="195" t="s">
        <v>30</v>
      </c>
      <c r="W18" s="195" t="s">
        <v>30</v>
      </c>
      <c r="X18" s="197" t="s">
        <v>30</v>
      </c>
      <c r="Y18" s="193" t="s">
        <v>30</v>
      </c>
      <c r="Z18" s="193" t="s">
        <v>30</v>
      </c>
    </row>
    <row r="19" spans="1:26" ht="94.5">
      <c r="A19" s="193">
        <v>2</v>
      </c>
      <c r="B19" s="168" t="s">
        <v>441</v>
      </c>
      <c r="C19" s="195" t="s">
        <v>105</v>
      </c>
      <c r="D19" s="194" t="s">
        <v>106</v>
      </c>
      <c r="E19" s="193"/>
      <c r="F19" s="193"/>
      <c r="G19" s="193"/>
      <c r="H19" s="193"/>
      <c r="I19" s="196" t="s">
        <v>442</v>
      </c>
      <c r="J19" s="196" t="s">
        <v>443</v>
      </c>
      <c r="K19" s="193" t="s">
        <v>107</v>
      </c>
      <c r="L19" s="193" t="s">
        <v>30</v>
      </c>
      <c r="M19" s="193" t="s">
        <v>107</v>
      </c>
      <c r="N19" s="193" t="s">
        <v>30</v>
      </c>
      <c r="O19" s="193">
        <v>0</v>
      </c>
      <c r="P19" s="193">
        <v>0</v>
      </c>
      <c r="Q19" s="197">
        <f>'сметная стоимость работ'!T14</f>
        <v>4.0494493296</v>
      </c>
      <c r="R19" s="197" t="s">
        <v>30</v>
      </c>
      <c r="S19" s="197">
        <f>Q19</f>
        <v>4.0494493296</v>
      </c>
      <c r="T19" s="193" t="s">
        <v>30</v>
      </c>
      <c r="U19" s="195" t="s">
        <v>445</v>
      </c>
      <c r="V19" s="195" t="s">
        <v>30</v>
      </c>
      <c r="W19" s="195" t="s">
        <v>30</v>
      </c>
      <c r="X19" s="197" t="s">
        <v>30</v>
      </c>
      <c r="Y19" s="193" t="s">
        <v>30</v>
      </c>
      <c r="Z19" s="193" t="s">
        <v>30</v>
      </c>
    </row>
    <row r="27" ht="12.75">
      <c r="C27" s="2" t="s">
        <v>440</v>
      </c>
    </row>
    <row r="65527" ht="16.5" customHeight="1"/>
  </sheetData>
  <sheetProtection selectLockedCells="1" selectUnlockedCells="1"/>
  <mergeCells count="32">
    <mergeCell ref="Y1:Z1"/>
    <mergeCell ref="A15:A17"/>
    <mergeCell ref="B15:B17"/>
    <mergeCell ref="C15:C17"/>
    <mergeCell ref="D15:D17"/>
    <mergeCell ref="E15:G15"/>
    <mergeCell ref="H15:H17"/>
    <mergeCell ref="I15:J15"/>
    <mergeCell ref="K15:N15"/>
    <mergeCell ref="O15:O17"/>
    <mergeCell ref="S15:T15"/>
    <mergeCell ref="U15:W15"/>
    <mergeCell ref="X15:Z15"/>
    <mergeCell ref="E16:E17"/>
    <mergeCell ref="F16:F17"/>
    <mergeCell ref="G16:G17"/>
    <mergeCell ref="I16:I17"/>
    <mergeCell ref="J16:J17"/>
    <mergeCell ref="K16:K17"/>
    <mergeCell ref="L16:L17"/>
    <mergeCell ref="M16:M17"/>
    <mergeCell ref="N16:N17"/>
    <mergeCell ref="Q16:Q17"/>
    <mergeCell ref="R16:R17"/>
    <mergeCell ref="P15:P17"/>
    <mergeCell ref="Q15:R15"/>
    <mergeCell ref="S16:S17"/>
    <mergeCell ref="T16:T17"/>
    <mergeCell ref="U16:U17"/>
    <mergeCell ref="V16:V17"/>
    <mergeCell ref="W16:W17"/>
    <mergeCell ref="Y16:Z16"/>
  </mergeCells>
  <printOptions/>
  <pageMargins left="0.20555555555555555" right="0.1638888888888889" top="0.9541666666666667" bottom="0.39375" header="0.5118055555555555" footer="0.5118055555555555"/>
  <pageSetup fitToHeight="8" fitToWidth="1" horizontalDpi="300" verticalDpi="3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view="pageBreakPreview" zoomScale="80" zoomScaleNormal="50" zoomScaleSheetLayoutView="80" zoomScalePageLayoutView="0" workbookViewId="0" topLeftCell="A1">
      <selection activeCell="E1" sqref="E1:F1"/>
    </sheetView>
  </sheetViews>
  <sheetFormatPr defaultColWidth="1.00390625" defaultRowHeight="12.75"/>
  <cols>
    <col min="1" max="1" width="63.25390625" style="72" customWidth="1"/>
    <col min="2" max="5" width="16.625" style="72" customWidth="1"/>
    <col min="6" max="6" width="15.125" style="72" customWidth="1"/>
    <col min="7" max="7" width="6.375" style="72" customWidth="1"/>
    <col min="8" max="24" width="8.875" style="72" customWidth="1"/>
    <col min="25" max="156" width="1.00390625" style="72" customWidth="1"/>
    <col min="157" max="16384" width="1.00390625" style="50" customWidth="1"/>
  </cols>
  <sheetData>
    <row r="1" spans="5:7" s="73" customFormat="1" ht="59.25" customHeight="1">
      <c r="E1" s="301"/>
      <c r="F1" s="301"/>
      <c r="G1" s="74"/>
    </row>
    <row r="2" s="73" customFormat="1" ht="15.75" customHeight="1">
      <c r="F2" s="50"/>
    </row>
    <row r="3" spans="4:6" s="73" customFormat="1" ht="13.5" customHeight="1">
      <c r="D3" s="75" t="s">
        <v>0</v>
      </c>
      <c r="E3" s="75"/>
      <c r="F3" s="50"/>
    </row>
    <row r="4" spans="4:6" s="73" customFormat="1" ht="13.5" customHeight="1">
      <c r="D4" s="75"/>
      <c r="E4" s="75"/>
      <c r="F4" s="50"/>
    </row>
    <row r="5" spans="4:6" s="73" customFormat="1" ht="13.5" customHeight="1">
      <c r="D5" s="75" t="s">
        <v>1</v>
      </c>
      <c r="E5" s="75"/>
      <c r="F5" s="50"/>
    </row>
    <row r="6" spans="4:6" s="73" customFormat="1" ht="13.5" customHeight="1">
      <c r="D6" s="75"/>
      <c r="E6" s="75"/>
      <c r="F6" s="50"/>
    </row>
    <row r="7" spans="4:6" s="73" customFormat="1" ht="13.5" customHeight="1">
      <c r="D7" s="75" t="s">
        <v>2</v>
      </c>
      <c r="E7" s="75"/>
      <c r="F7" s="50"/>
    </row>
    <row r="8" spans="4:6" s="73" customFormat="1" ht="13.5" customHeight="1">
      <c r="D8" s="75"/>
      <c r="E8" s="75"/>
      <c r="F8" s="50"/>
    </row>
    <row r="9" spans="4:6" s="73" customFormat="1" ht="18.75" customHeight="1">
      <c r="D9" s="8" t="s">
        <v>420</v>
      </c>
      <c r="E9" s="75"/>
      <c r="F9" s="50"/>
    </row>
    <row r="10" s="73" customFormat="1" ht="9.75" customHeight="1"/>
    <row r="11" spans="5:7" s="73" customFormat="1" ht="9.75" customHeight="1">
      <c r="E11" s="76"/>
      <c r="F11" s="76"/>
      <c r="G11" s="76"/>
    </row>
    <row r="12" spans="5:7" s="73" customFormat="1" ht="9.75" customHeight="1">
      <c r="E12" s="76"/>
      <c r="F12" s="76"/>
      <c r="G12" s="76"/>
    </row>
    <row r="13" spans="1:7" s="78" customFormat="1" ht="20.25" customHeight="1">
      <c r="A13" s="21" t="s">
        <v>108</v>
      </c>
      <c r="B13" s="77"/>
      <c r="C13" s="77"/>
      <c r="D13" s="77"/>
      <c r="E13" s="77"/>
      <c r="F13" s="77"/>
      <c r="G13" s="77"/>
    </row>
    <row r="14" spans="1:7" ht="9.75" customHeight="1">
      <c r="A14" s="77"/>
      <c r="E14" s="79"/>
      <c r="F14" s="79"/>
      <c r="G14" s="79"/>
    </row>
    <row r="15" spans="1:7" s="83" customFormat="1" ht="12" customHeight="1">
      <c r="A15" s="80" t="s">
        <v>441</v>
      </c>
      <c r="B15" s="81"/>
      <c r="C15" s="81"/>
      <c r="D15" s="81"/>
      <c r="E15" s="82"/>
      <c r="F15" s="82"/>
      <c r="G15" s="82"/>
    </row>
    <row r="16" spans="1:7" s="83" customFormat="1" ht="9" customHeight="1">
      <c r="A16" s="81"/>
      <c r="B16" s="81"/>
      <c r="C16" s="81"/>
      <c r="D16" s="81"/>
      <c r="E16" s="81"/>
      <c r="F16" s="81"/>
      <c r="G16" s="81"/>
    </row>
    <row r="17" spans="1:6" s="83" customFormat="1" ht="24.75" customHeight="1">
      <c r="A17" s="159" t="s">
        <v>109</v>
      </c>
      <c r="B17" s="159" t="s">
        <v>110</v>
      </c>
      <c r="C17" s="84"/>
      <c r="D17" s="84"/>
      <c r="E17" s="84"/>
      <c r="F17" s="84"/>
    </row>
    <row r="18" spans="1:7" ht="15.75">
      <c r="A18" s="198" t="s">
        <v>111</v>
      </c>
      <c r="B18" s="199">
        <f>'сметная стоимость работ'!S17*1000000</f>
        <v>30072365.09656826</v>
      </c>
      <c r="C18" s="85" t="s">
        <v>112</v>
      </c>
      <c r="D18" s="86"/>
      <c r="E18" s="50"/>
      <c r="F18" s="86"/>
      <c r="G18" s="73"/>
    </row>
    <row r="19" spans="1:7" ht="15.75">
      <c r="A19" s="198" t="s">
        <v>113</v>
      </c>
      <c r="B19" s="157"/>
      <c r="C19" s="47" t="s">
        <v>114</v>
      </c>
      <c r="D19" s="86"/>
      <c r="E19" s="50"/>
      <c r="F19" s="87">
        <f>'расчет фин. показателей'!B41</f>
        <v>4</v>
      </c>
      <c r="G19" s="50"/>
    </row>
    <row r="20" spans="1:7" ht="15.75">
      <c r="A20" s="198" t="s">
        <v>115</v>
      </c>
      <c r="B20" s="157">
        <v>10</v>
      </c>
      <c r="C20" s="47" t="s">
        <v>116</v>
      </c>
      <c r="D20" s="86"/>
      <c r="E20" s="50"/>
      <c r="F20" s="87">
        <f>'расчет фин. показателей'!C41</f>
        <v>4.5</v>
      </c>
      <c r="G20" s="50"/>
    </row>
    <row r="21" spans="1:7" ht="15.75">
      <c r="A21" s="198" t="s">
        <v>117</v>
      </c>
      <c r="B21" s="157">
        <v>1</v>
      </c>
      <c r="C21" s="47" t="s">
        <v>118</v>
      </c>
      <c r="D21" s="48"/>
      <c r="E21" s="50"/>
      <c r="F21" s="88">
        <f>SUM('расчет фин. показателей'!B29:M30)*1000000</f>
        <v>16268071.180872135</v>
      </c>
      <c r="G21" s="50"/>
    </row>
    <row r="22" spans="1:7" ht="15.75">
      <c r="A22" s="198" t="s">
        <v>119</v>
      </c>
      <c r="B22" s="157" t="s">
        <v>30</v>
      </c>
      <c r="C22" s="47" t="s">
        <v>120</v>
      </c>
      <c r="D22" s="48"/>
      <c r="E22" s="50"/>
      <c r="F22" s="47" t="s">
        <v>121</v>
      </c>
      <c r="G22" s="50"/>
    </row>
    <row r="23" spans="1:7" ht="15.75">
      <c r="A23" s="198" t="s">
        <v>122</v>
      </c>
      <c r="B23" s="157" t="s">
        <v>30</v>
      </c>
      <c r="C23" s="86"/>
      <c r="D23" s="89"/>
      <c r="E23" s="48"/>
      <c r="F23" s="48"/>
      <c r="G23" s="90"/>
    </row>
    <row r="24" spans="1:7" ht="15.75">
      <c r="A24" s="198" t="s">
        <v>123</v>
      </c>
      <c r="B24" s="157" t="s">
        <v>30</v>
      </c>
      <c r="C24" s="86"/>
      <c r="D24" s="89"/>
      <c r="E24" s="48"/>
      <c r="F24" s="48"/>
      <c r="G24" s="90"/>
    </row>
    <row r="25" spans="1:7" ht="15.75">
      <c r="A25" s="198" t="s">
        <v>124</v>
      </c>
      <c r="B25" s="157" t="s">
        <v>30</v>
      </c>
      <c r="C25" s="86"/>
      <c r="D25" s="86"/>
      <c r="E25" s="86"/>
      <c r="F25" s="86"/>
      <c r="G25" s="73"/>
    </row>
    <row r="26" spans="1:7" ht="15.75">
      <c r="A26" s="198" t="s">
        <v>125</v>
      </c>
      <c r="B26" s="157" t="s">
        <v>30</v>
      </c>
      <c r="C26" s="86"/>
      <c r="D26" s="86"/>
      <c r="E26" s="86"/>
      <c r="F26" s="86"/>
      <c r="G26" s="73"/>
    </row>
    <row r="27" spans="1:7" ht="15.75">
      <c r="A27" s="198" t="s">
        <v>126</v>
      </c>
      <c r="B27" s="157" t="s">
        <v>30</v>
      </c>
      <c r="C27" s="86"/>
      <c r="D27" s="86"/>
      <c r="E27" s="86"/>
      <c r="F27" s="86"/>
      <c r="G27" s="73"/>
    </row>
    <row r="28" spans="1:7" ht="15.75">
      <c r="A28" s="198"/>
      <c r="B28" s="157"/>
      <c r="C28" s="86"/>
      <c r="D28" s="86"/>
      <c r="E28" s="86"/>
      <c r="F28" s="86"/>
      <c r="G28" s="73"/>
    </row>
    <row r="29" spans="1:7" ht="15.75">
      <c r="A29" s="198" t="s">
        <v>127</v>
      </c>
      <c r="B29" s="199">
        <f>B18/0.8-B18</f>
        <v>7518091.27414206</v>
      </c>
      <c r="C29" s="86"/>
      <c r="D29" s="86"/>
      <c r="E29" s="86"/>
      <c r="F29" s="86"/>
      <c r="G29" s="73"/>
    </row>
    <row r="30" spans="1:7" ht="15.75">
      <c r="A30" s="198"/>
      <c r="B30" s="157"/>
      <c r="C30" s="86"/>
      <c r="D30" s="86"/>
      <c r="E30" s="86"/>
      <c r="F30" s="86"/>
      <c r="G30" s="73"/>
    </row>
    <row r="31" spans="1:7" ht="15.75">
      <c r="A31" s="198" t="s">
        <v>128</v>
      </c>
      <c r="B31" s="157"/>
      <c r="C31" s="86"/>
      <c r="D31" s="86"/>
      <c r="E31" s="86"/>
      <c r="F31" s="86"/>
      <c r="G31" s="73"/>
    </row>
    <row r="32" spans="1:7" ht="15.75">
      <c r="A32" s="198" t="s">
        <v>129</v>
      </c>
      <c r="B32" s="157"/>
      <c r="C32" s="86"/>
      <c r="D32" s="86"/>
      <c r="E32" s="86"/>
      <c r="F32" s="86"/>
      <c r="G32" s="73"/>
    </row>
    <row r="33" spans="1:7" ht="15.75">
      <c r="A33" s="198" t="s">
        <v>130</v>
      </c>
      <c r="B33" s="157"/>
      <c r="C33" s="86"/>
      <c r="D33" s="86"/>
      <c r="E33" s="86"/>
      <c r="F33" s="86"/>
      <c r="G33" s="73"/>
    </row>
    <row r="34" spans="1:7" ht="15.75">
      <c r="A34" s="198" t="s">
        <v>131</v>
      </c>
      <c r="B34" s="157"/>
      <c r="C34" s="86"/>
      <c r="D34" s="86"/>
      <c r="E34" s="86"/>
      <c r="F34" s="86"/>
      <c r="G34" s="73"/>
    </row>
    <row r="35" spans="1:7" ht="15.75">
      <c r="A35" s="198" t="s">
        <v>132</v>
      </c>
      <c r="B35" s="157"/>
      <c r="C35" s="86"/>
      <c r="D35" s="86"/>
      <c r="E35" s="86"/>
      <c r="F35" s="86"/>
      <c r="G35" s="73"/>
    </row>
    <row r="36" spans="1:7" ht="15.75">
      <c r="A36" s="198" t="s">
        <v>133</v>
      </c>
      <c r="B36" s="200">
        <v>0</v>
      </c>
      <c r="C36" s="86"/>
      <c r="D36" s="86"/>
      <c r="E36" s="86"/>
      <c r="F36" s="86"/>
      <c r="G36" s="73"/>
    </row>
    <row r="37" spans="1:7" ht="15.75">
      <c r="A37" s="198" t="s">
        <v>134</v>
      </c>
      <c r="B37" s="200">
        <v>0.1</v>
      </c>
      <c r="C37" s="86"/>
      <c r="D37" s="86"/>
      <c r="E37" s="86"/>
      <c r="F37" s="86"/>
      <c r="G37" s="73"/>
    </row>
    <row r="38" spans="1:7" ht="15.75">
      <c r="A38" s="198" t="s">
        <v>135</v>
      </c>
      <c r="B38" s="200">
        <v>1</v>
      </c>
      <c r="C38" s="86"/>
      <c r="D38" s="86"/>
      <c r="E38" s="86"/>
      <c r="F38" s="86"/>
      <c r="G38" s="73"/>
    </row>
    <row r="39" spans="1:7" ht="15.75">
      <c r="A39" s="198" t="s">
        <v>136</v>
      </c>
      <c r="B39" s="200">
        <v>0.1</v>
      </c>
      <c r="C39" s="86"/>
      <c r="D39" s="86"/>
      <c r="E39" s="86"/>
      <c r="F39" s="86"/>
      <c r="G39" s="73"/>
    </row>
    <row r="40" spans="1:7" ht="15.75">
      <c r="A40" s="201"/>
      <c r="B40" s="202"/>
      <c r="C40" s="86"/>
      <c r="D40" s="86"/>
      <c r="E40" s="86"/>
      <c r="F40" s="86"/>
      <c r="G40" s="73"/>
    </row>
    <row r="41" spans="1:7" ht="15.75">
      <c r="A41" s="190" t="s">
        <v>137</v>
      </c>
      <c r="B41" s="191">
        <v>2018</v>
      </c>
      <c r="C41" s="191">
        <v>2019</v>
      </c>
      <c r="D41" s="191">
        <v>2020</v>
      </c>
      <c r="E41" s="191">
        <v>2021</v>
      </c>
      <c r="F41" s="157">
        <v>2022</v>
      </c>
      <c r="G41" s="91"/>
    </row>
    <row r="42" spans="1:7" ht="15.75">
      <c r="A42" s="198" t="s">
        <v>138</v>
      </c>
      <c r="B42" s="169">
        <f>'сметная стоимость работ'!C35</f>
        <v>1.06039180165382</v>
      </c>
      <c r="C42" s="169">
        <f>'сметная стоимость работ'!D35</f>
        <v>1.0481692221075394</v>
      </c>
      <c r="D42" s="169">
        <f>'сметная стоимость работ'!E35</f>
        <v>1.0406244073333515</v>
      </c>
      <c r="E42" s="169">
        <f>'сметная стоимость работ'!F35</f>
        <v>1.0356381561154744</v>
      </c>
      <c r="F42" s="169">
        <f>'сметная стоимость работ'!G35</f>
        <v>1.03563815611547</v>
      </c>
      <c r="G42" s="92"/>
    </row>
    <row r="43" spans="1:7" ht="15.75">
      <c r="A43" s="198" t="s">
        <v>139</v>
      </c>
      <c r="B43" s="169">
        <f>'сметная стоимость работ'!C36</f>
        <v>1.127467575501704</v>
      </c>
      <c r="C43" s="169">
        <f>'сметная стоимость работ'!D36</f>
        <v>1.1817768115650946</v>
      </c>
      <c r="D43" s="169">
        <f>'сметная стоимость работ'!E36</f>
        <v>1.2297857941352244</v>
      </c>
      <c r="E43" s="169">
        <f>'сметная стоимость работ'!F36</f>
        <v>1.2736130922552082</v>
      </c>
      <c r="F43" s="169">
        <f>'сметная стоимость работ'!G36</f>
        <v>1.3190023144677059</v>
      </c>
      <c r="G43" s="92"/>
    </row>
    <row r="44" spans="1:7" ht="15.75">
      <c r="A44" s="198" t="s">
        <v>140</v>
      </c>
      <c r="B44" s="157"/>
      <c r="C44" s="157"/>
      <c r="D44" s="157"/>
      <c r="E44" s="157"/>
      <c r="F44" s="157"/>
      <c r="G44" s="92"/>
    </row>
    <row r="45" spans="1:7" ht="15.75">
      <c r="A45" s="198"/>
      <c r="B45" s="198"/>
      <c r="C45" s="203"/>
      <c r="D45" s="203"/>
      <c r="E45" s="203"/>
      <c r="F45" s="203"/>
      <c r="G45" s="93"/>
    </row>
    <row r="46" spans="1:7" ht="15.75">
      <c r="A46" s="170" t="s">
        <v>141</v>
      </c>
      <c r="B46" s="191">
        <v>2018</v>
      </c>
      <c r="C46" s="191">
        <v>2019</v>
      </c>
      <c r="D46" s="191">
        <v>2020</v>
      </c>
      <c r="E46" s="191">
        <v>2021</v>
      </c>
      <c r="F46" s="157">
        <v>2022</v>
      </c>
      <c r="G46" s="91"/>
    </row>
    <row r="47" spans="1:7" ht="15.75">
      <c r="A47" s="198" t="s">
        <v>142</v>
      </c>
      <c r="B47" s="157"/>
      <c r="C47" s="157"/>
      <c r="D47" s="157"/>
      <c r="E47" s="157"/>
      <c r="F47" s="157"/>
      <c r="G47" s="94"/>
    </row>
    <row r="48" spans="1:7" ht="15.75">
      <c r="A48" s="198" t="s">
        <v>143</v>
      </c>
      <c r="B48" s="157"/>
      <c r="C48" s="157"/>
      <c r="D48" s="157"/>
      <c r="E48" s="157"/>
      <c r="F48" s="157"/>
      <c r="G48" s="94"/>
    </row>
    <row r="49" spans="1:7" ht="15.75">
      <c r="A49" s="198" t="s">
        <v>144</v>
      </c>
      <c r="B49" s="157"/>
      <c r="C49" s="157"/>
      <c r="D49" s="157"/>
      <c r="E49" s="157"/>
      <c r="F49" s="157"/>
      <c r="G49" s="94"/>
    </row>
    <row r="50" spans="1:7" ht="15.75">
      <c r="A50" s="198" t="s">
        <v>145</v>
      </c>
      <c r="B50" s="157"/>
      <c r="C50" s="157"/>
      <c r="D50" s="157"/>
      <c r="E50" s="157"/>
      <c r="F50" s="157"/>
      <c r="G50" s="94"/>
    </row>
    <row r="51" spans="1:6" ht="15.75">
      <c r="A51" s="95"/>
      <c r="B51" s="95"/>
      <c r="C51" s="86"/>
      <c r="D51" s="86"/>
      <c r="E51" s="86"/>
      <c r="F51" s="86"/>
    </row>
    <row r="52" spans="1:7" ht="15.75">
      <c r="A52" s="170" t="s">
        <v>146</v>
      </c>
      <c r="B52" s="191">
        <v>2018</v>
      </c>
      <c r="C52" s="191">
        <v>2019</v>
      </c>
      <c r="D52" s="191">
        <v>2020</v>
      </c>
      <c r="E52" s="191">
        <v>2021</v>
      </c>
      <c r="F52" s="157">
        <v>2022</v>
      </c>
      <c r="G52" s="91"/>
    </row>
    <row r="53" spans="1:7" ht="15.75">
      <c r="A53" s="204" t="s">
        <v>147</v>
      </c>
      <c r="B53" s="267">
        <f>'сметная стоимость работ'!N17/1.18/0.8*1000000+B58+B69</f>
        <v>5759241.364581767</v>
      </c>
      <c r="C53" s="267">
        <f>'сметная стоимость работ'!O17/1.18/0.8*1000000+C58+C69</f>
        <v>6050209.444306252</v>
      </c>
      <c r="D53" s="267">
        <f>'сметная стоимость работ'!P17/1.18/0.8*1000000+D58+D69</f>
        <v>7426460.2146665035</v>
      </c>
      <c r="E53" s="267">
        <f>'сметная стоимость работ'!Q17/1.18/0.8*1000000+E58+E69</f>
        <v>7994537.159967784</v>
      </c>
      <c r="F53" s="267">
        <f>'сметная стоимость работ'!R17/1.18/0.8*1000000+F58+F69</f>
        <v>8789519.59875023</v>
      </c>
      <c r="G53" s="96"/>
    </row>
    <row r="54" spans="1:7" ht="15.75">
      <c r="A54" s="198" t="s">
        <v>148</v>
      </c>
      <c r="B54" s="157"/>
      <c r="C54" s="157"/>
      <c r="D54" s="157"/>
      <c r="E54" s="157"/>
      <c r="F54" s="157"/>
      <c r="G54" s="94"/>
    </row>
    <row r="55" spans="1:7" ht="15.75">
      <c r="A55" s="198" t="s">
        <v>149</v>
      </c>
      <c r="B55" s="157"/>
      <c r="C55" s="157"/>
      <c r="D55" s="157"/>
      <c r="E55" s="157"/>
      <c r="F55" s="157"/>
      <c r="G55" s="94"/>
    </row>
    <row r="56" spans="1:7" ht="15.75">
      <c r="A56" s="198" t="s">
        <v>124</v>
      </c>
      <c r="B56" s="157"/>
      <c r="C56" s="157"/>
      <c r="D56" s="157"/>
      <c r="E56" s="157"/>
      <c r="F56" s="157"/>
      <c r="G56" s="94"/>
    </row>
    <row r="57" spans="1:7" ht="15.75">
      <c r="A57" s="201"/>
      <c r="B57" s="205"/>
      <c r="C57" s="205"/>
      <c r="D57" s="205"/>
      <c r="E57" s="205"/>
      <c r="F57" s="205"/>
      <c r="G57" s="94"/>
    </row>
    <row r="58" spans="1:7" ht="15.75">
      <c r="A58" s="198" t="s">
        <v>150</v>
      </c>
      <c r="B58" s="157"/>
      <c r="C58" s="267">
        <f>'сметная стоимость работ'!N17*0.95/1.18*1000000*0.022</f>
        <v>96294.51561580715</v>
      </c>
      <c r="D58" s="267">
        <f>C58*0.95+'сметная стоимость работ'!O17/1.18*0.95*1000000*0.022</f>
        <v>183325.68619345644</v>
      </c>
      <c r="E58" s="267">
        <f>D58*0.95+'сметная стоимость работ'!P17/1.18*0.95*1000000*0.022</f>
        <v>283857.9390832487</v>
      </c>
      <c r="F58" s="267">
        <f>E58*0.95+'сметная стоимость работ'!Q17/1.18*0.95*1000000*0.022</f>
        <v>383273.0329229051</v>
      </c>
      <c r="G58" s="94"/>
    </row>
    <row r="59" spans="1:7" ht="15.75">
      <c r="A59" s="204" t="s">
        <v>151</v>
      </c>
      <c r="B59" s="199">
        <f>B53-B58</f>
        <v>5759241.364581767</v>
      </c>
      <c r="C59" s="199">
        <f>C53-C58</f>
        <v>5953914.928690445</v>
      </c>
      <c r="D59" s="199">
        <f>D53-D58</f>
        <v>7243134.528473047</v>
      </c>
      <c r="E59" s="199">
        <f>E53-E58</f>
        <v>7710679.220884535</v>
      </c>
      <c r="F59" s="199">
        <f>F53-F58</f>
        <v>8406246.565827325</v>
      </c>
      <c r="G59" s="96"/>
    </row>
    <row r="60" spans="1:12" ht="15.75">
      <c r="A60" s="198" t="s">
        <v>152</v>
      </c>
      <c r="B60" s="157"/>
      <c r="C60" s="199">
        <f>'сметная стоимость работ'!N17/1.18*1000000*0.1</f>
        <v>460739.30916654144</v>
      </c>
      <c r="D60" s="199">
        <f>C60+'сметная стоимость работ'!O24/1.18*1000000*0.04</f>
        <v>682217.2318543199</v>
      </c>
      <c r="E60" s="199">
        <f>D60+'сметная стоимость работ'!P24/1.18*1000000*0.04</f>
        <v>915942.9293881936</v>
      </c>
      <c r="F60" s="199">
        <f>E60+'сметная стоимость работ'!Q24/1.18*1000000*0.04</f>
        <v>1157998.1798189776</v>
      </c>
      <c r="G60" s="97"/>
      <c r="H60" s="97"/>
      <c r="I60" s="97"/>
      <c r="J60" s="97"/>
      <c r="K60" s="97"/>
      <c r="L60" s="97"/>
    </row>
    <row r="61" spans="1:7" ht="15.75">
      <c r="A61" s="204" t="s">
        <v>153</v>
      </c>
      <c r="B61" s="199">
        <f>B59-B60</f>
        <v>5759241.364581767</v>
      </c>
      <c r="C61" s="199">
        <f>C59-C60</f>
        <v>5493175.619523903</v>
      </c>
      <c r="D61" s="199">
        <f>D59-D60</f>
        <v>6560917.296618727</v>
      </c>
      <c r="E61" s="199">
        <f>E59-E60</f>
        <v>6794736.291496342</v>
      </c>
      <c r="F61" s="199">
        <f>F59-F60</f>
        <v>7248248.386008347</v>
      </c>
      <c r="G61" s="96"/>
    </row>
    <row r="62" spans="1:7" ht="15.75">
      <c r="A62" s="198" t="s">
        <v>154</v>
      </c>
      <c r="B62" s="157">
        <v>0</v>
      </c>
      <c r="C62" s="157">
        <v>0</v>
      </c>
      <c r="D62" s="157">
        <v>0</v>
      </c>
      <c r="E62" s="157">
        <v>0</v>
      </c>
      <c r="F62" s="157">
        <v>0</v>
      </c>
      <c r="G62" s="94"/>
    </row>
    <row r="63" spans="1:7" ht="15.75">
      <c r="A63" s="204" t="s">
        <v>155</v>
      </c>
      <c r="B63" s="199">
        <f>B53-B58-B60-B62</f>
        <v>5759241.364581767</v>
      </c>
      <c r="C63" s="199">
        <f>C53-C58-C60-C62</f>
        <v>5493175.619523903</v>
      </c>
      <c r="D63" s="199">
        <f>D53-D58-D60-D62</f>
        <v>6560917.296618727</v>
      </c>
      <c r="E63" s="199">
        <f>E53-E58-E60-E62</f>
        <v>6794736.291496342</v>
      </c>
      <c r="F63" s="199">
        <f>F53-F58-F60-F62</f>
        <v>7248248.386008347</v>
      </c>
      <c r="G63" s="96"/>
    </row>
    <row r="64" spans="1:7" ht="15.75">
      <c r="A64" s="198" t="s">
        <v>127</v>
      </c>
      <c r="B64" s="199">
        <f>B63*0.2</f>
        <v>1151848.2729163533</v>
      </c>
      <c r="C64" s="199">
        <f>C63*0.2</f>
        <v>1098635.1239047807</v>
      </c>
      <c r="D64" s="199">
        <f>D63*0.2</f>
        <v>1312183.4593237455</v>
      </c>
      <c r="E64" s="199">
        <f>E63*0.2</f>
        <v>1358947.2582992685</v>
      </c>
      <c r="F64" s="199">
        <f>F63*0.2</f>
        <v>1449649.6772016697</v>
      </c>
      <c r="G64" s="94"/>
    </row>
    <row r="65" spans="1:7" ht="15.75">
      <c r="A65" s="204" t="s">
        <v>156</v>
      </c>
      <c r="B65" s="199">
        <f>B63-B64</f>
        <v>4607393.091665413</v>
      </c>
      <c r="C65" s="199">
        <f>C63-C64</f>
        <v>4394540.495619123</v>
      </c>
      <c r="D65" s="199">
        <f>D63-D64</f>
        <v>5248733.837294982</v>
      </c>
      <c r="E65" s="199">
        <f>E63-E64</f>
        <v>5435789.033197073</v>
      </c>
      <c r="F65" s="199">
        <f>F63-F64</f>
        <v>5798598.708806678</v>
      </c>
      <c r="G65" s="96"/>
    </row>
    <row r="66" spans="1:6" ht="15.75">
      <c r="A66" s="95"/>
      <c r="B66" s="206"/>
      <c r="C66" s="86"/>
      <c r="D66" s="86"/>
      <c r="E66" s="86"/>
      <c r="F66" s="86"/>
    </row>
    <row r="67" spans="1:7" ht="15.75">
      <c r="A67" s="170" t="s">
        <v>157</v>
      </c>
      <c r="B67" s="191">
        <v>2018</v>
      </c>
      <c r="C67" s="191">
        <v>2019</v>
      </c>
      <c r="D67" s="191">
        <v>2020</v>
      </c>
      <c r="E67" s="191">
        <v>2021</v>
      </c>
      <c r="F67" s="157">
        <v>2022</v>
      </c>
      <c r="G67" s="91"/>
    </row>
    <row r="68" spans="1:7" ht="15.75">
      <c r="A68" s="204" t="s">
        <v>153</v>
      </c>
      <c r="B68" s="199">
        <f>B61</f>
        <v>5759241.364581767</v>
      </c>
      <c r="C68" s="199">
        <f>C61</f>
        <v>5493175.619523903</v>
      </c>
      <c r="D68" s="199">
        <f>D61</f>
        <v>6560917.296618727</v>
      </c>
      <c r="E68" s="199">
        <f>E61</f>
        <v>6794736.291496342</v>
      </c>
      <c r="F68" s="199">
        <f>F61</f>
        <v>7248248.386008347</v>
      </c>
      <c r="G68" s="96"/>
    </row>
    <row r="69" spans="1:7" ht="15.75">
      <c r="A69" s="198" t="s">
        <v>152</v>
      </c>
      <c r="B69" s="199">
        <f>B60</f>
        <v>0</v>
      </c>
      <c r="C69" s="199">
        <f>C60</f>
        <v>460739.30916654144</v>
      </c>
      <c r="D69" s="199">
        <f>D60</f>
        <v>682217.2318543199</v>
      </c>
      <c r="E69" s="199">
        <f>E60</f>
        <v>915942.9293881936</v>
      </c>
      <c r="F69" s="199">
        <f>F60</f>
        <v>1157998.1798189776</v>
      </c>
      <c r="G69" s="94"/>
    </row>
    <row r="70" spans="1:7" ht="15.75">
      <c r="A70" s="198" t="s">
        <v>154</v>
      </c>
      <c r="B70" s="157">
        <v>0</v>
      </c>
      <c r="C70" s="193">
        <v>0</v>
      </c>
      <c r="D70" s="193">
        <v>0</v>
      </c>
      <c r="E70" s="193">
        <v>0</v>
      </c>
      <c r="F70" s="193">
        <v>0</v>
      </c>
      <c r="G70" s="94"/>
    </row>
    <row r="71" spans="1:7" ht="15.75">
      <c r="A71" s="198" t="s">
        <v>127</v>
      </c>
      <c r="B71" s="199">
        <f>B64</f>
        <v>1151848.2729163533</v>
      </c>
      <c r="C71" s="199">
        <f>C64</f>
        <v>1098635.1239047807</v>
      </c>
      <c r="D71" s="199">
        <f>D64</f>
        <v>1312183.4593237455</v>
      </c>
      <c r="E71" s="199">
        <f>E64</f>
        <v>1358947.2582992685</v>
      </c>
      <c r="F71" s="199">
        <f>F64</f>
        <v>1449649.6772016697</v>
      </c>
      <c r="G71" s="94"/>
    </row>
    <row r="72" spans="1:7" ht="15.75">
      <c r="A72" s="198" t="s">
        <v>158</v>
      </c>
      <c r="B72" s="157"/>
      <c r="C72" s="193"/>
      <c r="D72" s="193"/>
      <c r="E72" s="193"/>
      <c r="F72" s="193"/>
      <c r="G72" s="94"/>
    </row>
    <row r="73" spans="1:7" ht="15.75">
      <c r="A73" s="198" t="s">
        <v>159</v>
      </c>
      <c r="B73" s="157"/>
      <c r="C73" s="193"/>
      <c r="D73" s="193"/>
      <c r="E73" s="193"/>
      <c r="F73" s="193"/>
      <c r="G73" s="94"/>
    </row>
    <row r="74" spans="1:7" ht="15.75">
      <c r="A74" s="198" t="s">
        <v>160</v>
      </c>
      <c r="B74" s="199">
        <f>'сметная стоимость работ'!N17/1.18*1000000</f>
        <v>4607393.091665414</v>
      </c>
      <c r="C74" s="199">
        <f>'сметная стоимость работ'!O17/1.18*1000000</f>
        <v>4394540.495619123</v>
      </c>
      <c r="D74" s="199">
        <f>'сметная стоимость работ'!P17/1.18*1000000</f>
        <v>5248733.837294982</v>
      </c>
      <c r="E74" s="199">
        <f>'сметная стоимость работ'!Q17/1.18*1000000</f>
        <v>5435789.033197074</v>
      </c>
      <c r="F74" s="199">
        <f>'сметная стоимость работ'!R17/1.18*1000000</f>
        <v>5798598.708806678</v>
      </c>
      <c r="G74" s="94"/>
    </row>
    <row r="75" spans="1:7" ht="15.75">
      <c r="A75" s="198" t="s">
        <v>161</v>
      </c>
      <c r="B75" s="157"/>
      <c r="C75" s="193"/>
      <c r="D75" s="193"/>
      <c r="E75" s="193"/>
      <c r="F75" s="193"/>
      <c r="G75" s="94"/>
    </row>
    <row r="76" spans="1:7" ht="15.75">
      <c r="A76" s="204" t="s">
        <v>162</v>
      </c>
      <c r="B76" s="199">
        <f>B68-B70-B71-B72-B73-B74</f>
        <v>0</v>
      </c>
      <c r="C76" s="199">
        <f>C68-C70-C71-C72-C73-C74</f>
        <v>0</v>
      </c>
      <c r="D76" s="199">
        <f>D68-D70-D71-D72-D73-D74</f>
        <v>0</v>
      </c>
      <c r="E76" s="199">
        <f>E68-E70-E71-E72-E73-E74</f>
        <v>0</v>
      </c>
      <c r="F76" s="199">
        <f>F68-F70-F71-F72-F73-F74</f>
        <v>0</v>
      </c>
      <c r="G76" s="96"/>
    </row>
    <row r="77" spans="1:7" ht="15.75">
      <c r="A77" s="204" t="s">
        <v>163</v>
      </c>
      <c r="B77" s="199">
        <f>B76</f>
        <v>0</v>
      </c>
      <c r="C77" s="199">
        <f>B77+C76</f>
        <v>0</v>
      </c>
      <c r="D77" s="199">
        <f>C77+D76</f>
        <v>0</v>
      </c>
      <c r="E77" s="199">
        <f>D77+E76</f>
        <v>0</v>
      </c>
      <c r="F77" s="199">
        <f>E77+F76</f>
        <v>0</v>
      </c>
      <c r="G77" s="96"/>
    </row>
    <row r="78" spans="1:7" ht="15.75">
      <c r="A78" s="198" t="s">
        <v>164</v>
      </c>
      <c r="B78" s="157">
        <v>1.1</v>
      </c>
      <c r="C78" s="193">
        <v>1.1</v>
      </c>
      <c r="D78" s="193">
        <v>1.1</v>
      </c>
      <c r="E78" s="193">
        <v>1.1</v>
      </c>
      <c r="F78" s="193">
        <v>1.1</v>
      </c>
      <c r="G78" s="94"/>
    </row>
    <row r="79" spans="1:7" ht="15.75">
      <c r="A79" s="204" t="s">
        <v>165</v>
      </c>
      <c r="B79" s="199">
        <f>'расчет фин. показателей'!B36</f>
        <v>-4607393.091665414</v>
      </c>
      <c r="C79" s="199">
        <f>'расчет фин. показателей'!C36</f>
        <v>-7716969.837284537</v>
      </c>
      <c r="D79" s="199">
        <f>'расчет фин. показателей'!D36</f>
        <v>-10305828.71207952</v>
      </c>
      <c r="E79" s="199">
        <f>'расчет фин. показателей'!E36</f>
        <v>-11612161.865995344</v>
      </c>
      <c r="F79" s="199">
        <f>'расчет фин. показателей'!F36</f>
        <v>-11712111.461393898</v>
      </c>
      <c r="G79" s="96"/>
    </row>
    <row r="80" spans="1:7" ht="15.75">
      <c r="A80" s="204" t="s">
        <v>166</v>
      </c>
      <c r="B80" s="199">
        <f>'расчет фин. показателей'!B37</f>
        <v>-4607393.091665414</v>
      </c>
      <c r="C80" s="199">
        <f>'расчет фин. показателей'!C37</f>
        <v>-7434281.042228254</v>
      </c>
      <c r="D80" s="199">
        <f>'расчет фин. показателей'!D37</f>
        <v>-9573833.831315015</v>
      </c>
      <c r="E80" s="199">
        <f>'расчет фин. показателей'!E37</f>
        <v>-10555301.264760412</v>
      </c>
      <c r="F80" s="199">
        <f>'расчет фин. показателей'!F37</f>
        <v>-10623568.18327592</v>
      </c>
      <c r="G80" s="96"/>
    </row>
    <row r="81" spans="1:7" ht="15.75">
      <c r="A81" s="204" t="s">
        <v>167</v>
      </c>
      <c r="B81" s="200">
        <f>'расчет фин. показателей'!B43</f>
        <v>0.41</v>
      </c>
      <c r="C81" s="207"/>
      <c r="D81" s="207"/>
      <c r="E81" s="207"/>
      <c r="F81" s="207"/>
      <c r="G81" s="96"/>
    </row>
    <row r="82" spans="1:7" ht="15.75">
      <c r="A82" s="204" t="s">
        <v>168</v>
      </c>
      <c r="B82" s="208">
        <f>F19</f>
        <v>4</v>
      </c>
      <c r="C82" s="207"/>
      <c r="D82" s="207"/>
      <c r="E82" s="207"/>
      <c r="F82" s="207"/>
      <c r="G82" s="96"/>
    </row>
    <row r="83" spans="1:7" ht="15.75">
      <c r="A83" s="204" t="s">
        <v>169</v>
      </c>
      <c r="B83" s="208">
        <f>F20</f>
        <v>4.5</v>
      </c>
      <c r="C83" s="207"/>
      <c r="D83" s="207"/>
      <c r="E83" s="207"/>
      <c r="F83" s="207"/>
      <c r="G83" s="96"/>
    </row>
  </sheetData>
  <sheetProtection selectLockedCells="1" selectUnlockedCells="1"/>
  <mergeCells count="1">
    <mergeCell ref="E1:F1"/>
  </mergeCells>
  <printOptions/>
  <pageMargins left="1.011111111111111" right="0.3194444444444444" top="0.38125" bottom="0.31180555555555556" header="0.5118055555555555" footer="0.5118055555555555"/>
  <pageSetup fitToHeight="1" fitToWidth="1" horizontalDpi="300" verticalDpi="300" orientation="portrait" paperSize="9" scale="61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8"/>
  <sheetViews>
    <sheetView view="pageBreakPreview" zoomScaleNormal="50" zoomScaleSheetLayoutView="100" zoomScalePageLayoutView="0" workbookViewId="0" topLeftCell="A1">
      <selection activeCell="E1" sqref="E1:F1"/>
    </sheetView>
  </sheetViews>
  <sheetFormatPr defaultColWidth="1.00390625" defaultRowHeight="12.75"/>
  <cols>
    <col min="1" max="1" width="4.625" style="98" customWidth="1"/>
    <col min="2" max="2" width="31.00390625" style="98" customWidth="1"/>
    <col min="3" max="3" width="10.125" style="98" customWidth="1"/>
    <col min="4" max="4" width="11.25390625" style="98" customWidth="1"/>
    <col min="5" max="5" width="11.625" style="98" customWidth="1"/>
    <col min="6" max="6" width="23.875" style="98" customWidth="1"/>
    <col min="7" max="9" width="10.125" style="98" customWidth="1"/>
    <col min="10" max="16384" width="1.00390625" style="98" customWidth="1"/>
  </cols>
  <sheetData>
    <row r="1" spans="5:6" ht="35.25" customHeight="1">
      <c r="E1" s="304"/>
      <c r="F1" s="304"/>
    </row>
    <row r="3" spans="4:8" ht="15.75">
      <c r="D3" s="99"/>
      <c r="E3" s="53" t="s">
        <v>0</v>
      </c>
      <c r="F3" s="53"/>
      <c r="G3" s="100"/>
      <c r="H3" s="100"/>
    </row>
    <row r="4" spans="2:8" s="101" customFormat="1" ht="9.75" customHeight="1">
      <c r="B4" s="58"/>
      <c r="D4" s="99"/>
      <c r="E4" s="53"/>
      <c r="F4" s="53"/>
      <c r="G4" s="55"/>
      <c r="H4" s="55"/>
    </row>
    <row r="5" spans="1:8" s="101" customFormat="1" ht="15.75">
      <c r="A5" s="58"/>
      <c r="B5" s="58"/>
      <c r="D5" s="99"/>
      <c r="E5" s="53" t="s">
        <v>1</v>
      </c>
      <c r="F5" s="53"/>
      <c r="G5" s="102"/>
      <c r="H5" s="103"/>
    </row>
    <row r="6" spans="4:8" ht="9.75" customHeight="1">
      <c r="D6" s="99"/>
      <c r="E6" s="53"/>
      <c r="F6" s="53"/>
      <c r="G6" s="104"/>
      <c r="H6" s="104"/>
    </row>
    <row r="7" spans="4:8" ht="12.75" customHeight="1">
      <c r="D7" s="99"/>
      <c r="E7" s="53" t="s">
        <v>2</v>
      </c>
      <c r="F7" s="53"/>
      <c r="G7" s="105"/>
      <c r="H7" s="105"/>
    </row>
    <row r="8" spans="4:6" ht="12" customHeight="1">
      <c r="D8" s="99"/>
      <c r="E8" s="53"/>
      <c r="F8" s="53"/>
    </row>
    <row r="9" spans="4:6" s="52" customFormat="1" ht="15.75">
      <c r="D9" s="99"/>
      <c r="E9" s="53" t="s">
        <v>420</v>
      </c>
      <c r="F9" s="53"/>
    </row>
    <row r="10" s="52" customFormat="1" ht="12.75"/>
    <row r="11" ht="15.75">
      <c r="A11" s="63" t="s">
        <v>170</v>
      </c>
    </row>
    <row r="12" ht="5.25" customHeight="1"/>
    <row r="13" spans="1:6" s="52" customFormat="1" ht="12.75">
      <c r="A13" s="106" t="s">
        <v>448</v>
      </c>
      <c r="B13" s="106"/>
      <c r="C13" s="106"/>
      <c r="E13" s="110" t="str">
        <f>'2.2'!B19</f>
        <v>Создание АИИС КУЭ  (ИП-2018-2022/2)</v>
      </c>
      <c r="F13" s="107"/>
    </row>
    <row r="14" ht="6" customHeight="1"/>
    <row r="15" spans="1:3" s="52" customFormat="1" ht="12.75">
      <c r="A15" s="52" t="s">
        <v>171</v>
      </c>
      <c r="C15" s="108" t="s">
        <v>449</v>
      </c>
    </row>
    <row r="16" ht="6.75" customHeight="1"/>
    <row r="17" spans="1:6" s="109" customFormat="1" ht="36.75" customHeight="1">
      <c r="A17" s="303" t="s">
        <v>172</v>
      </c>
      <c r="B17" s="302" t="s">
        <v>173</v>
      </c>
      <c r="C17" s="303" t="s">
        <v>174</v>
      </c>
      <c r="D17" s="303"/>
      <c r="E17" s="302" t="s">
        <v>175</v>
      </c>
      <c r="F17" s="302" t="s">
        <v>176</v>
      </c>
    </row>
    <row r="18" spans="1:6" s="109" customFormat="1" ht="27" customHeight="1">
      <c r="A18" s="303"/>
      <c r="B18" s="302"/>
      <c r="C18" s="210" t="s">
        <v>177</v>
      </c>
      <c r="D18" s="210" t="s">
        <v>178</v>
      </c>
      <c r="E18" s="302"/>
      <c r="F18" s="302"/>
    </row>
    <row r="19" spans="1:6" s="109" customFormat="1" ht="14.25" customHeight="1">
      <c r="A19" s="211">
        <v>1</v>
      </c>
      <c r="B19" s="211">
        <v>2</v>
      </c>
      <c r="C19" s="211">
        <v>3</v>
      </c>
      <c r="D19" s="211">
        <v>4</v>
      </c>
      <c r="E19" s="211">
        <v>5</v>
      </c>
      <c r="F19" s="211">
        <v>6</v>
      </c>
    </row>
    <row r="20" spans="1:6" ht="12.75">
      <c r="A20" s="212"/>
      <c r="B20" s="213" t="s">
        <v>179</v>
      </c>
      <c r="C20" s="214"/>
      <c r="D20" s="215"/>
      <c r="E20" s="216"/>
      <c r="F20" s="217"/>
    </row>
    <row r="21" spans="1:6" ht="25.5">
      <c r="A21" s="209">
        <v>1</v>
      </c>
      <c r="B21" s="218" t="s">
        <v>180</v>
      </c>
      <c r="C21" s="219">
        <v>43115</v>
      </c>
      <c r="D21" s="219">
        <v>43132</v>
      </c>
      <c r="E21" s="220"/>
      <c r="F21" s="220"/>
    </row>
    <row r="22" spans="1:6" ht="25.5">
      <c r="A22" s="209">
        <v>2</v>
      </c>
      <c r="B22" s="218" t="s">
        <v>181</v>
      </c>
      <c r="C22" s="219">
        <f>D21</f>
        <v>43132</v>
      </c>
      <c r="D22" s="219">
        <f>C22+60</f>
        <v>43192</v>
      </c>
      <c r="E22" s="220"/>
      <c r="F22" s="220"/>
    </row>
    <row r="23" spans="1:6" ht="12.75">
      <c r="A23" s="209">
        <v>3</v>
      </c>
      <c r="B23" s="218" t="s">
        <v>182</v>
      </c>
      <c r="C23" s="219">
        <f>D22</f>
        <v>43192</v>
      </c>
      <c r="D23" s="219">
        <f>C23+30</f>
        <v>43222</v>
      </c>
      <c r="E23" s="220"/>
      <c r="F23" s="220"/>
    </row>
    <row r="24" spans="1:6" ht="12.75">
      <c r="A24" s="212"/>
      <c r="B24" s="213" t="s">
        <v>183</v>
      </c>
      <c r="C24" s="216"/>
      <c r="D24" s="216"/>
      <c r="E24" s="214"/>
      <c r="F24" s="214"/>
    </row>
    <row r="25" spans="1:6" ht="12.75">
      <c r="A25" s="209">
        <v>4</v>
      </c>
      <c r="B25" s="218" t="s">
        <v>184</v>
      </c>
      <c r="C25" s="219">
        <f>D23</f>
        <v>43222</v>
      </c>
      <c r="D25" s="219">
        <f>C25+10</f>
        <v>43232</v>
      </c>
      <c r="E25" s="220"/>
      <c r="F25" s="220"/>
    </row>
    <row r="26" spans="1:6" ht="38.25">
      <c r="A26" s="212"/>
      <c r="B26" s="213" t="s">
        <v>450</v>
      </c>
      <c r="C26" s="216"/>
      <c r="D26" s="216"/>
      <c r="E26" s="214"/>
      <c r="F26" s="214"/>
    </row>
    <row r="27" spans="1:6" ht="12.75">
      <c r="A27" s="209">
        <v>5</v>
      </c>
      <c r="B27" s="218" t="s">
        <v>186</v>
      </c>
      <c r="C27" s="219">
        <f>D25+5</f>
        <v>43237</v>
      </c>
      <c r="D27" s="219">
        <f>C27+120</f>
        <v>43357</v>
      </c>
      <c r="E27" s="220"/>
      <c r="F27" s="220"/>
    </row>
    <row r="28" spans="1:6" ht="12.75">
      <c r="A28" s="209">
        <v>6</v>
      </c>
      <c r="B28" s="218" t="s">
        <v>187</v>
      </c>
      <c r="C28" s="219">
        <f>D27</f>
        <v>43357</v>
      </c>
      <c r="D28" s="219">
        <f>C28+60</f>
        <v>43417</v>
      </c>
      <c r="E28" s="220"/>
      <c r="F28" s="220"/>
    </row>
    <row r="29" spans="1:6" ht="15" customHeight="1">
      <c r="A29" s="209">
        <v>7</v>
      </c>
      <c r="B29" s="218" t="s">
        <v>188</v>
      </c>
      <c r="C29" s="219">
        <f>D28</f>
        <v>43417</v>
      </c>
      <c r="D29" s="219">
        <f>C29+10</f>
        <v>43427</v>
      </c>
      <c r="E29" s="220"/>
      <c r="F29" s="220"/>
    </row>
    <row r="30" spans="1:6" ht="12.75">
      <c r="A30" s="209">
        <v>8</v>
      </c>
      <c r="B30" s="218" t="s">
        <v>189</v>
      </c>
      <c r="C30" s="221"/>
      <c r="D30" s="219">
        <f>D29</f>
        <v>43427</v>
      </c>
      <c r="E30" s="220"/>
      <c r="F30" s="220"/>
    </row>
    <row r="31" spans="1:6" ht="12.75">
      <c r="A31" s="212"/>
      <c r="B31" s="213" t="s">
        <v>190</v>
      </c>
      <c r="C31" s="216"/>
      <c r="D31" s="216"/>
      <c r="E31" s="214"/>
      <c r="F31" s="214"/>
    </row>
    <row r="32" spans="1:6" ht="25.5">
      <c r="A32" s="209">
        <v>9</v>
      </c>
      <c r="B32" s="218" t="s">
        <v>191</v>
      </c>
      <c r="C32" s="219">
        <f>D30</f>
        <v>43427</v>
      </c>
      <c r="D32" s="219">
        <f>C32</f>
        <v>43427</v>
      </c>
      <c r="E32" s="220"/>
      <c r="F32" s="220"/>
    </row>
    <row r="33" spans="1:6" ht="12.75">
      <c r="A33" s="209">
        <v>10</v>
      </c>
      <c r="B33" s="218" t="s">
        <v>451</v>
      </c>
      <c r="C33" s="219">
        <f>D32</f>
        <v>43427</v>
      </c>
      <c r="D33" s="219">
        <f>C33+30</f>
        <v>43457</v>
      </c>
      <c r="E33" s="220"/>
      <c r="F33" s="220"/>
    </row>
    <row r="34" spans="1:6" ht="25.5">
      <c r="A34" s="209">
        <v>11</v>
      </c>
      <c r="B34" s="218" t="s">
        <v>192</v>
      </c>
      <c r="C34" s="221"/>
      <c r="D34" s="219">
        <f>D33</f>
        <v>43457</v>
      </c>
      <c r="E34" s="222">
        <v>1</v>
      </c>
      <c r="F34" s="220"/>
    </row>
    <row r="35" spans="1:6" ht="38.25">
      <c r="A35" s="212"/>
      <c r="B35" s="213" t="s">
        <v>452</v>
      </c>
      <c r="C35" s="216"/>
      <c r="D35" s="216"/>
      <c r="E35" s="214"/>
      <c r="F35" s="214"/>
    </row>
    <row r="36" spans="1:6" ht="12.75">
      <c r="A36" s="209">
        <f>A34+1</f>
        <v>12</v>
      </c>
      <c r="B36" s="218" t="s">
        <v>186</v>
      </c>
      <c r="C36" s="219">
        <v>43497</v>
      </c>
      <c r="D36" s="219">
        <f>C36+120</f>
        <v>43617</v>
      </c>
      <c r="E36" s="220"/>
      <c r="F36" s="220"/>
    </row>
    <row r="37" spans="1:6" ht="12.75">
      <c r="A37" s="209">
        <f>A36+1</f>
        <v>13</v>
      </c>
      <c r="B37" s="218" t="s">
        <v>187</v>
      </c>
      <c r="C37" s="219">
        <f>D36</f>
        <v>43617</v>
      </c>
      <c r="D37" s="219">
        <f>C37+60</f>
        <v>43677</v>
      </c>
      <c r="E37" s="220"/>
      <c r="F37" s="220"/>
    </row>
    <row r="38" spans="1:6" ht="12.75">
      <c r="A38" s="209">
        <f aca="true" t="shared" si="0" ref="A38:A43">A37+1</f>
        <v>14</v>
      </c>
      <c r="B38" s="218" t="s">
        <v>188</v>
      </c>
      <c r="C38" s="219">
        <f>D37</f>
        <v>43677</v>
      </c>
      <c r="D38" s="219">
        <f>C38+10</f>
        <v>43687</v>
      </c>
      <c r="E38" s="220"/>
      <c r="F38" s="220"/>
    </row>
    <row r="39" spans="1:6" ht="12.75">
      <c r="A39" s="209">
        <f t="shared" si="0"/>
        <v>15</v>
      </c>
      <c r="B39" s="218" t="s">
        <v>189</v>
      </c>
      <c r="C39" s="221"/>
      <c r="D39" s="219">
        <f>D38</f>
        <v>43687</v>
      </c>
      <c r="E39" s="220"/>
      <c r="F39" s="220"/>
    </row>
    <row r="40" spans="1:6" ht="12.75">
      <c r="A40" s="209">
        <f t="shared" si="0"/>
        <v>16</v>
      </c>
      <c r="B40" s="213" t="s">
        <v>190</v>
      </c>
      <c r="C40" s="216"/>
      <c r="D40" s="216"/>
      <c r="E40" s="214"/>
      <c r="F40" s="214"/>
    </row>
    <row r="41" spans="1:6" ht="25.5">
      <c r="A41" s="209">
        <f t="shared" si="0"/>
        <v>17</v>
      </c>
      <c r="B41" s="218" t="s">
        <v>191</v>
      </c>
      <c r="C41" s="219">
        <f>D39</f>
        <v>43687</v>
      </c>
      <c r="D41" s="219">
        <f>C41</f>
        <v>43687</v>
      </c>
      <c r="E41" s="220"/>
      <c r="F41" s="220"/>
    </row>
    <row r="42" spans="1:6" ht="12.75">
      <c r="A42" s="209">
        <f t="shared" si="0"/>
        <v>18</v>
      </c>
      <c r="B42" s="218" t="s">
        <v>451</v>
      </c>
      <c r="C42" s="219">
        <f>D41</f>
        <v>43687</v>
      </c>
      <c r="D42" s="219">
        <f>C42+30</f>
        <v>43717</v>
      </c>
      <c r="E42" s="220"/>
      <c r="F42" s="220"/>
    </row>
    <row r="43" spans="1:6" ht="25.5">
      <c r="A43" s="209">
        <f t="shared" si="0"/>
        <v>19</v>
      </c>
      <c r="B43" s="218" t="s">
        <v>192</v>
      </c>
      <c r="C43" s="221"/>
      <c r="D43" s="219">
        <f>D42</f>
        <v>43717</v>
      </c>
      <c r="E43" s="222">
        <v>1</v>
      </c>
      <c r="F43" s="220"/>
    </row>
    <row r="44" spans="1:6" ht="38.25">
      <c r="A44" s="212"/>
      <c r="B44" s="213" t="s">
        <v>453</v>
      </c>
      <c r="C44" s="216"/>
      <c r="D44" s="216"/>
      <c r="E44" s="214"/>
      <c r="F44" s="214"/>
    </row>
    <row r="45" spans="1:6" ht="12.75">
      <c r="A45" s="209">
        <f>A43+1</f>
        <v>20</v>
      </c>
      <c r="B45" s="218" t="s">
        <v>186</v>
      </c>
      <c r="C45" s="219">
        <v>43862</v>
      </c>
      <c r="D45" s="219">
        <f>C45+120</f>
        <v>43982</v>
      </c>
      <c r="E45" s="220"/>
      <c r="F45" s="220"/>
    </row>
    <row r="46" spans="1:6" ht="12.75">
      <c r="A46" s="209">
        <f>A45+1</f>
        <v>21</v>
      </c>
      <c r="B46" s="218" t="s">
        <v>187</v>
      </c>
      <c r="C46" s="219">
        <f>D45</f>
        <v>43982</v>
      </c>
      <c r="D46" s="219">
        <f>C46+60</f>
        <v>44042</v>
      </c>
      <c r="E46" s="220"/>
      <c r="F46" s="220"/>
    </row>
    <row r="47" spans="1:6" ht="12.75">
      <c r="A47" s="209">
        <f aca="true" t="shared" si="1" ref="A47:A52">A46+1</f>
        <v>22</v>
      </c>
      <c r="B47" s="218" t="s">
        <v>188</v>
      </c>
      <c r="C47" s="219">
        <f>D46</f>
        <v>44042</v>
      </c>
      <c r="D47" s="219">
        <f>C47+10</f>
        <v>44052</v>
      </c>
      <c r="E47" s="220"/>
      <c r="F47" s="220"/>
    </row>
    <row r="48" spans="1:6" ht="12.75">
      <c r="A48" s="209">
        <f t="shared" si="1"/>
        <v>23</v>
      </c>
      <c r="B48" s="218" t="s">
        <v>189</v>
      </c>
      <c r="C48" s="221"/>
      <c r="D48" s="219">
        <f>D47</f>
        <v>44052</v>
      </c>
      <c r="E48" s="220"/>
      <c r="F48" s="220"/>
    </row>
    <row r="49" spans="1:6" ht="12.75">
      <c r="A49" s="209">
        <f t="shared" si="1"/>
        <v>24</v>
      </c>
      <c r="B49" s="213" t="s">
        <v>190</v>
      </c>
      <c r="C49" s="216"/>
      <c r="D49" s="216"/>
      <c r="E49" s="214"/>
      <c r="F49" s="214"/>
    </row>
    <row r="50" spans="1:6" ht="25.5">
      <c r="A50" s="209">
        <f t="shared" si="1"/>
        <v>25</v>
      </c>
      <c r="B50" s="218" t="s">
        <v>191</v>
      </c>
      <c r="C50" s="219">
        <f>D48</f>
        <v>44052</v>
      </c>
      <c r="D50" s="219">
        <f>C50</f>
        <v>44052</v>
      </c>
      <c r="E50" s="220"/>
      <c r="F50" s="220"/>
    </row>
    <row r="51" spans="1:6" ht="12.75">
      <c r="A51" s="209">
        <f t="shared" si="1"/>
        <v>26</v>
      </c>
      <c r="B51" s="218" t="s">
        <v>451</v>
      </c>
      <c r="C51" s="219">
        <f>D50</f>
        <v>44052</v>
      </c>
      <c r="D51" s="219">
        <f>C51+30</f>
        <v>44082</v>
      </c>
      <c r="E51" s="220"/>
      <c r="F51" s="220"/>
    </row>
    <row r="52" spans="1:6" ht="25.5">
      <c r="A52" s="209">
        <f t="shared" si="1"/>
        <v>27</v>
      </c>
      <c r="B52" s="218" t="s">
        <v>192</v>
      </c>
      <c r="C52" s="221"/>
      <c r="D52" s="219">
        <f>D51</f>
        <v>44082</v>
      </c>
      <c r="E52" s="222">
        <v>1</v>
      </c>
      <c r="F52" s="220"/>
    </row>
    <row r="53" spans="1:6" ht="38.25">
      <c r="A53" s="212"/>
      <c r="B53" s="213" t="s">
        <v>454</v>
      </c>
      <c r="C53" s="216"/>
      <c r="D53" s="216"/>
      <c r="E53" s="214"/>
      <c r="F53" s="214"/>
    </row>
    <row r="54" spans="1:6" ht="12.75">
      <c r="A54" s="209">
        <f>A52+1</f>
        <v>28</v>
      </c>
      <c r="B54" s="218" t="s">
        <v>186</v>
      </c>
      <c r="C54" s="219">
        <v>44228</v>
      </c>
      <c r="D54" s="219">
        <f>C54+120</f>
        <v>44348</v>
      </c>
      <c r="E54" s="220"/>
      <c r="F54" s="220"/>
    </row>
    <row r="55" spans="1:6" ht="12.75">
      <c r="A55" s="209">
        <f>A54+1</f>
        <v>29</v>
      </c>
      <c r="B55" s="218" t="s">
        <v>187</v>
      </c>
      <c r="C55" s="219">
        <f>D54</f>
        <v>44348</v>
      </c>
      <c r="D55" s="219">
        <f>C55+60</f>
        <v>44408</v>
      </c>
      <c r="E55" s="220"/>
      <c r="F55" s="220"/>
    </row>
    <row r="56" spans="1:6" ht="12.75">
      <c r="A56" s="209">
        <f aca="true" t="shared" si="2" ref="A56:A61">A55+1</f>
        <v>30</v>
      </c>
      <c r="B56" s="218" t="s">
        <v>188</v>
      </c>
      <c r="C56" s="219">
        <f>D55</f>
        <v>44408</v>
      </c>
      <c r="D56" s="219">
        <f>C56+10</f>
        <v>44418</v>
      </c>
      <c r="E56" s="220"/>
      <c r="F56" s="220"/>
    </row>
    <row r="57" spans="1:6" ht="12.75">
      <c r="A57" s="209">
        <f t="shared" si="2"/>
        <v>31</v>
      </c>
      <c r="B57" s="218" t="s">
        <v>189</v>
      </c>
      <c r="C57" s="221"/>
      <c r="D57" s="219">
        <f>D56</f>
        <v>44418</v>
      </c>
      <c r="E57" s="220"/>
      <c r="F57" s="220"/>
    </row>
    <row r="58" spans="1:6" ht="12.75">
      <c r="A58" s="209">
        <f t="shared" si="2"/>
        <v>32</v>
      </c>
      <c r="B58" s="213" t="s">
        <v>190</v>
      </c>
      <c r="C58" s="216"/>
      <c r="D58" s="216"/>
      <c r="E58" s="214"/>
      <c r="F58" s="214"/>
    </row>
    <row r="59" spans="1:6" ht="25.5">
      <c r="A59" s="209">
        <f t="shared" si="2"/>
        <v>33</v>
      </c>
      <c r="B59" s="218" t="s">
        <v>191</v>
      </c>
      <c r="C59" s="219">
        <f>D57</f>
        <v>44418</v>
      </c>
      <c r="D59" s="219">
        <f>C59</f>
        <v>44418</v>
      </c>
      <c r="E59" s="220"/>
      <c r="F59" s="220"/>
    </row>
    <row r="60" spans="1:6" ht="12.75">
      <c r="A60" s="209">
        <f t="shared" si="2"/>
        <v>34</v>
      </c>
      <c r="B60" s="218" t="s">
        <v>451</v>
      </c>
      <c r="C60" s="219">
        <f>D59</f>
        <v>44418</v>
      </c>
      <c r="D60" s="219">
        <f>C60+30</f>
        <v>44448</v>
      </c>
      <c r="E60" s="220"/>
      <c r="F60" s="220"/>
    </row>
    <row r="61" spans="1:6" ht="25.5">
      <c r="A61" s="209">
        <f t="shared" si="2"/>
        <v>35</v>
      </c>
      <c r="B61" s="218" t="s">
        <v>192</v>
      </c>
      <c r="C61" s="221"/>
      <c r="D61" s="219">
        <f>D60</f>
        <v>44448</v>
      </c>
      <c r="E61" s="222">
        <v>1</v>
      </c>
      <c r="F61" s="220"/>
    </row>
    <row r="62" spans="1:6" ht="38.25">
      <c r="A62" s="212"/>
      <c r="B62" s="213" t="s">
        <v>455</v>
      </c>
      <c r="C62" s="216"/>
      <c r="D62" s="216"/>
      <c r="E62" s="214"/>
      <c r="F62" s="214"/>
    </row>
    <row r="63" spans="1:6" ht="12.75">
      <c r="A63" s="209">
        <f>A61+1</f>
        <v>36</v>
      </c>
      <c r="B63" s="218" t="s">
        <v>186</v>
      </c>
      <c r="C63" s="219">
        <v>44228</v>
      </c>
      <c r="D63" s="219">
        <f>C63+120</f>
        <v>44348</v>
      </c>
      <c r="E63" s="220"/>
      <c r="F63" s="220"/>
    </row>
    <row r="64" spans="1:6" ht="12.75">
      <c r="A64" s="209">
        <f>A63+1</f>
        <v>37</v>
      </c>
      <c r="B64" s="218" t="s">
        <v>187</v>
      </c>
      <c r="C64" s="219">
        <f>D63</f>
        <v>44348</v>
      </c>
      <c r="D64" s="219">
        <f>C64+60</f>
        <v>44408</v>
      </c>
      <c r="E64" s="220"/>
      <c r="F64" s="220"/>
    </row>
    <row r="65" spans="1:6" ht="12.75">
      <c r="A65" s="209">
        <f aca="true" t="shared" si="3" ref="A65:A70">A64+1</f>
        <v>38</v>
      </c>
      <c r="B65" s="218" t="s">
        <v>188</v>
      </c>
      <c r="C65" s="219">
        <f>D64</f>
        <v>44408</v>
      </c>
      <c r="D65" s="219">
        <f>C65+10</f>
        <v>44418</v>
      </c>
      <c r="E65" s="220"/>
      <c r="F65" s="220"/>
    </row>
    <row r="66" spans="1:6" ht="12.75">
      <c r="A66" s="209">
        <f t="shared" si="3"/>
        <v>39</v>
      </c>
      <c r="B66" s="218" t="s">
        <v>189</v>
      </c>
      <c r="C66" s="221"/>
      <c r="D66" s="219">
        <f>D65</f>
        <v>44418</v>
      </c>
      <c r="E66" s="220"/>
      <c r="F66" s="220"/>
    </row>
    <row r="67" spans="1:6" ht="12.75">
      <c r="A67" s="209">
        <f t="shared" si="3"/>
        <v>40</v>
      </c>
      <c r="B67" s="213" t="s">
        <v>190</v>
      </c>
      <c r="C67" s="216"/>
      <c r="D67" s="216"/>
      <c r="E67" s="214"/>
      <c r="F67" s="214"/>
    </row>
    <row r="68" spans="1:6" ht="25.5">
      <c r="A68" s="209">
        <f t="shared" si="3"/>
        <v>41</v>
      </c>
      <c r="B68" s="218" t="s">
        <v>191</v>
      </c>
      <c r="C68" s="219">
        <f>D66</f>
        <v>44418</v>
      </c>
      <c r="D68" s="219">
        <f>C68</f>
        <v>44418</v>
      </c>
      <c r="E68" s="220"/>
      <c r="F68" s="220"/>
    </row>
    <row r="69" spans="1:6" ht="12.75">
      <c r="A69" s="209">
        <f t="shared" si="3"/>
        <v>42</v>
      </c>
      <c r="B69" s="218" t="s">
        <v>451</v>
      </c>
      <c r="C69" s="219">
        <f>D68</f>
        <v>44418</v>
      </c>
      <c r="D69" s="219">
        <f>C69+30</f>
        <v>44448</v>
      </c>
      <c r="E69" s="220"/>
      <c r="F69" s="220"/>
    </row>
    <row r="70" spans="1:6" ht="25.5">
      <c r="A70" s="209">
        <f t="shared" si="3"/>
        <v>43</v>
      </c>
      <c r="B70" s="218" t="s">
        <v>192</v>
      </c>
      <c r="C70" s="221"/>
      <c r="D70" s="219">
        <f>D69</f>
        <v>44448</v>
      </c>
      <c r="E70" s="222">
        <v>1</v>
      </c>
      <c r="F70" s="220"/>
    </row>
    <row r="71" spans="1:6" ht="12.75">
      <c r="A71" s="111"/>
      <c r="B71" s="64"/>
      <c r="C71" s="107"/>
      <c r="D71" s="112"/>
      <c r="E71" s="113"/>
      <c r="F71" s="114"/>
    </row>
    <row r="72" spans="1:6" ht="12.75">
      <c r="A72" s="111"/>
      <c r="B72" s="64"/>
      <c r="C72" s="107"/>
      <c r="D72" s="112"/>
      <c r="E72" s="113"/>
      <c r="F72" s="114"/>
    </row>
    <row r="73" spans="1:6" ht="12.75">
      <c r="A73" s="111"/>
      <c r="B73" s="64"/>
      <c r="C73" s="107"/>
      <c r="D73" s="112"/>
      <c r="E73" s="113"/>
      <c r="F73" s="114"/>
    </row>
    <row r="74" spans="1:6" ht="12.75">
      <c r="A74" s="111"/>
      <c r="B74" s="64"/>
      <c r="C74" s="107"/>
      <c r="D74" s="112"/>
      <c r="E74" s="113"/>
      <c r="F74" s="114"/>
    </row>
    <row r="76" spans="1:6" ht="13.5" customHeight="1">
      <c r="A76" s="106" t="s">
        <v>448</v>
      </c>
      <c r="B76" s="106"/>
      <c r="C76" s="269"/>
      <c r="D76" s="269"/>
      <c r="E76" s="270" t="str">
        <f>'2.2'!B18</f>
        <v>Реконструкция РП-1. (ИП-2018-2022/1)</v>
      </c>
      <c r="F76" s="110"/>
    </row>
    <row r="77" ht="13.5" customHeight="1"/>
    <row r="78" spans="1:6" ht="12.75">
      <c r="A78" s="52" t="s">
        <v>171</v>
      </c>
      <c r="B78" s="52"/>
      <c r="C78" s="108" t="str">
        <f>C15</f>
        <v>01.03.2017</v>
      </c>
      <c r="D78" s="52"/>
      <c r="E78" s="52"/>
      <c r="F78" s="52"/>
    </row>
    <row r="80" spans="1:6" ht="30.75" customHeight="1">
      <c r="A80" s="303" t="s">
        <v>172</v>
      </c>
      <c r="B80" s="302" t="s">
        <v>173</v>
      </c>
      <c r="C80" s="303" t="s">
        <v>174</v>
      </c>
      <c r="D80" s="303"/>
      <c r="E80" s="302" t="s">
        <v>175</v>
      </c>
      <c r="F80" s="302" t="s">
        <v>176</v>
      </c>
    </row>
    <row r="81" spans="1:6" ht="37.5" customHeight="1">
      <c r="A81" s="303"/>
      <c r="B81" s="302"/>
      <c r="C81" s="210" t="s">
        <v>177</v>
      </c>
      <c r="D81" s="210" t="s">
        <v>178</v>
      </c>
      <c r="E81" s="302"/>
      <c r="F81" s="302"/>
    </row>
    <row r="82" spans="1:6" ht="16.5" customHeight="1">
      <c r="A82" s="211">
        <v>1</v>
      </c>
      <c r="B82" s="211">
        <v>2</v>
      </c>
      <c r="C82" s="211">
        <v>3</v>
      </c>
      <c r="D82" s="211">
        <v>4</v>
      </c>
      <c r="E82" s="211">
        <v>5</v>
      </c>
      <c r="F82" s="211">
        <v>6</v>
      </c>
    </row>
    <row r="83" spans="1:6" ht="17.25" customHeight="1">
      <c r="A83" s="212"/>
      <c r="B83" s="213" t="s">
        <v>179</v>
      </c>
      <c r="C83" s="214"/>
      <c r="D83" s="215"/>
      <c r="E83" s="216"/>
      <c r="F83" s="217"/>
    </row>
    <row r="84" spans="1:6" ht="25.5">
      <c r="A84" s="212">
        <v>1</v>
      </c>
      <c r="B84" s="218" t="s">
        <v>180</v>
      </c>
      <c r="C84" s="268">
        <v>43115</v>
      </c>
      <c r="D84" s="215" t="s">
        <v>456</v>
      </c>
      <c r="E84" s="216"/>
      <c r="F84" s="217"/>
    </row>
    <row r="85" spans="1:6" ht="25.5">
      <c r="A85" s="209">
        <v>3</v>
      </c>
      <c r="B85" s="218" t="s">
        <v>181</v>
      </c>
      <c r="C85" s="219">
        <v>43146</v>
      </c>
      <c r="D85" s="219">
        <v>43174</v>
      </c>
      <c r="E85" s="220"/>
      <c r="F85" s="220"/>
    </row>
    <row r="86" spans="1:6" ht="12.75">
      <c r="A86" s="209">
        <v>4</v>
      </c>
      <c r="B86" s="218" t="s">
        <v>182</v>
      </c>
      <c r="C86" s="219">
        <f>D85</f>
        <v>43174</v>
      </c>
      <c r="D86" s="219">
        <v>43205</v>
      </c>
      <c r="E86" s="220"/>
      <c r="F86" s="220"/>
    </row>
    <row r="87" spans="1:6" ht="12.75">
      <c r="A87" s="212"/>
      <c r="B87" s="213" t="s">
        <v>183</v>
      </c>
      <c r="C87" s="216"/>
      <c r="D87" s="216"/>
      <c r="E87" s="214"/>
      <c r="F87" s="214"/>
    </row>
    <row r="88" spans="1:6" ht="12.75">
      <c r="A88" s="209"/>
      <c r="B88" s="218"/>
      <c r="C88" s="219"/>
      <c r="D88" s="219"/>
      <c r="E88" s="220"/>
      <c r="F88" s="220"/>
    </row>
    <row r="89" spans="1:6" ht="38.25" customHeight="1">
      <c r="A89" s="212"/>
      <c r="B89" s="213" t="s">
        <v>457</v>
      </c>
      <c r="C89" s="216"/>
      <c r="D89" s="216"/>
      <c r="E89" s="214"/>
      <c r="F89" s="214"/>
    </row>
    <row r="90" spans="1:6" ht="12.75">
      <c r="A90" s="209">
        <v>6</v>
      </c>
      <c r="B90" s="218" t="s">
        <v>186</v>
      </c>
      <c r="C90" s="219">
        <f>D86</f>
        <v>43205</v>
      </c>
      <c r="D90" s="219">
        <f>C90+120</f>
        <v>43325</v>
      </c>
      <c r="E90" s="220"/>
      <c r="F90" s="220"/>
    </row>
    <row r="91" spans="1:6" ht="12.75">
      <c r="A91" s="209">
        <v>7</v>
      </c>
      <c r="B91" s="218" t="s">
        <v>187</v>
      </c>
      <c r="C91" s="219">
        <f>D90</f>
        <v>43325</v>
      </c>
      <c r="D91" s="219">
        <f>C91+30</f>
        <v>43355</v>
      </c>
      <c r="E91" s="220"/>
      <c r="F91" s="220"/>
    </row>
    <row r="92" spans="1:6" ht="12.75">
      <c r="A92" s="209">
        <v>8</v>
      </c>
      <c r="B92" s="218" t="s">
        <v>188</v>
      </c>
      <c r="C92" s="219">
        <f>D91</f>
        <v>43355</v>
      </c>
      <c r="D92" s="219">
        <f>C92+10</f>
        <v>43365</v>
      </c>
      <c r="E92" s="220"/>
      <c r="F92" s="220"/>
    </row>
    <row r="93" spans="1:6" ht="12.75">
      <c r="A93" s="209">
        <v>9</v>
      </c>
      <c r="B93" s="218" t="s">
        <v>189</v>
      </c>
      <c r="C93" s="221"/>
      <c r="D93" s="219">
        <f>D92</f>
        <v>43365</v>
      </c>
      <c r="E93" s="220"/>
      <c r="F93" s="220"/>
    </row>
    <row r="94" spans="1:6" ht="12.75">
      <c r="A94" s="212"/>
      <c r="B94" s="213" t="s">
        <v>190</v>
      </c>
      <c r="C94" s="216"/>
      <c r="D94" s="216"/>
      <c r="E94" s="214"/>
      <c r="F94" s="214"/>
    </row>
    <row r="95" spans="1:6" ht="25.5">
      <c r="A95" s="209">
        <v>10</v>
      </c>
      <c r="B95" s="218" t="s">
        <v>191</v>
      </c>
      <c r="C95" s="219">
        <f>D93</f>
        <v>43365</v>
      </c>
      <c r="D95" s="219">
        <f>C95+7</f>
        <v>43372</v>
      </c>
      <c r="E95" s="220"/>
      <c r="F95" s="220"/>
    </row>
    <row r="96" spans="1:6" ht="25.5">
      <c r="A96" s="209">
        <v>11</v>
      </c>
      <c r="B96" s="218" t="s">
        <v>192</v>
      </c>
      <c r="C96" s="221"/>
      <c r="D96" s="219">
        <f>D95+15</f>
        <v>43387</v>
      </c>
      <c r="E96" s="222">
        <v>1</v>
      </c>
      <c r="F96" s="220"/>
    </row>
    <row r="97" spans="1:6" ht="40.5" customHeight="1">
      <c r="A97" s="212"/>
      <c r="B97" s="213" t="s">
        <v>465</v>
      </c>
      <c r="C97" s="216"/>
      <c r="D97" s="216"/>
      <c r="E97" s="214"/>
      <c r="F97" s="214"/>
    </row>
    <row r="98" spans="1:6" ht="12.75">
      <c r="A98" s="209">
        <f>A96+1</f>
        <v>12</v>
      </c>
      <c r="B98" s="218" t="s">
        <v>186</v>
      </c>
      <c r="C98" s="219">
        <f>C90+365</f>
        <v>43570</v>
      </c>
      <c r="D98" s="219">
        <f>C98+120</f>
        <v>43690</v>
      </c>
      <c r="E98" s="220"/>
      <c r="F98" s="220"/>
    </row>
    <row r="99" spans="1:6" ht="12.75">
      <c r="A99" s="209">
        <f aca="true" t="shared" si="4" ref="A99:A104">A98+1</f>
        <v>13</v>
      </c>
      <c r="B99" s="218" t="s">
        <v>187</v>
      </c>
      <c r="C99" s="219">
        <f>D98</f>
        <v>43690</v>
      </c>
      <c r="D99" s="219">
        <f>C99+30</f>
        <v>43720</v>
      </c>
      <c r="E99" s="220"/>
      <c r="F99" s="220"/>
    </row>
    <row r="100" spans="1:6" ht="12.75">
      <c r="A100" s="209">
        <f t="shared" si="4"/>
        <v>14</v>
      </c>
      <c r="B100" s="218" t="s">
        <v>188</v>
      </c>
      <c r="C100" s="219">
        <f>D99</f>
        <v>43720</v>
      </c>
      <c r="D100" s="219">
        <f>C100+10</f>
        <v>43730</v>
      </c>
      <c r="E100" s="220"/>
      <c r="F100" s="220"/>
    </row>
    <row r="101" spans="1:6" ht="12.75">
      <c r="A101" s="209">
        <f t="shared" si="4"/>
        <v>15</v>
      </c>
      <c r="B101" s="218" t="s">
        <v>189</v>
      </c>
      <c r="C101" s="221"/>
      <c r="D101" s="219">
        <f>D100</f>
        <v>43730</v>
      </c>
      <c r="E101" s="220"/>
      <c r="F101" s="220"/>
    </row>
    <row r="102" spans="1:6" ht="12.75">
      <c r="A102" s="209">
        <f t="shared" si="4"/>
        <v>16</v>
      </c>
      <c r="B102" s="213" t="s">
        <v>190</v>
      </c>
      <c r="C102" s="216"/>
      <c r="D102" s="216"/>
      <c r="E102" s="214"/>
      <c r="F102" s="214"/>
    </row>
    <row r="103" spans="1:6" ht="25.5">
      <c r="A103" s="209">
        <f t="shared" si="4"/>
        <v>17</v>
      </c>
      <c r="B103" s="218" t="s">
        <v>191</v>
      </c>
      <c r="C103" s="219">
        <f>D101</f>
        <v>43730</v>
      </c>
      <c r="D103" s="219">
        <f>C103+7</f>
        <v>43737</v>
      </c>
      <c r="E103" s="220"/>
      <c r="F103" s="220"/>
    </row>
    <row r="104" spans="1:6" ht="25.5">
      <c r="A104" s="209">
        <f t="shared" si="4"/>
        <v>18</v>
      </c>
      <c r="B104" s="218" t="s">
        <v>192</v>
      </c>
      <c r="C104" s="221"/>
      <c r="D104" s="219">
        <f>D103+15</f>
        <v>43752</v>
      </c>
      <c r="E104" s="222">
        <v>1</v>
      </c>
      <c r="F104" s="220"/>
    </row>
    <row r="105" spans="1:6" ht="41.25" customHeight="1">
      <c r="A105" s="212"/>
      <c r="B105" s="213" t="s">
        <v>466</v>
      </c>
      <c r="C105" s="216"/>
      <c r="D105" s="216"/>
      <c r="E105" s="214"/>
      <c r="F105" s="214"/>
    </row>
    <row r="106" spans="1:6" ht="12.75">
      <c r="A106" s="209">
        <f>A104+1</f>
        <v>19</v>
      </c>
      <c r="B106" s="218" t="s">
        <v>186</v>
      </c>
      <c r="C106" s="219">
        <f>C98+365</f>
        <v>43935</v>
      </c>
      <c r="D106" s="219">
        <f>C106+120</f>
        <v>44055</v>
      </c>
      <c r="E106" s="220"/>
      <c r="F106" s="220"/>
    </row>
    <row r="107" spans="1:6" ht="12.75">
      <c r="A107" s="209">
        <f aca="true" t="shared" si="5" ref="A107:A112">A106+1</f>
        <v>20</v>
      </c>
      <c r="B107" s="218" t="s">
        <v>187</v>
      </c>
      <c r="C107" s="219">
        <f>D106</f>
        <v>44055</v>
      </c>
      <c r="D107" s="219">
        <f>C107+30</f>
        <v>44085</v>
      </c>
      <c r="E107" s="220"/>
      <c r="F107" s="220"/>
    </row>
    <row r="108" spans="1:6" ht="12.75">
      <c r="A108" s="209">
        <f t="shared" si="5"/>
        <v>21</v>
      </c>
      <c r="B108" s="218" t="s">
        <v>188</v>
      </c>
      <c r="C108" s="219">
        <f>D107</f>
        <v>44085</v>
      </c>
      <c r="D108" s="219">
        <f>C108+10</f>
        <v>44095</v>
      </c>
      <c r="E108" s="220"/>
      <c r="F108" s="220"/>
    </row>
    <row r="109" spans="1:6" ht="12.75">
      <c r="A109" s="209">
        <f t="shared" si="5"/>
        <v>22</v>
      </c>
      <c r="B109" s="218" t="s">
        <v>189</v>
      </c>
      <c r="C109" s="221"/>
      <c r="D109" s="219">
        <f>D108</f>
        <v>44095</v>
      </c>
      <c r="E109" s="220"/>
      <c r="F109" s="220"/>
    </row>
    <row r="110" spans="1:6" ht="12.75">
      <c r="A110" s="209">
        <f t="shared" si="5"/>
        <v>23</v>
      </c>
      <c r="B110" s="213" t="s">
        <v>190</v>
      </c>
      <c r="C110" s="216"/>
      <c r="D110" s="216"/>
      <c r="E110" s="214"/>
      <c r="F110" s="214"/>
    </row>
    <row r="111" spans="1:6" ht="25.5">
      <c r="A111" s="209">
        <f t="shared" si="5"/>
        <v>24</v>
      </c>
      <c r="B111" s="218" t="s">
        <v>191</v>
      </c>
      <c r="C111" s="219">
        <f>D109</f>
        <v>44095</v>
      </c>
      <c r="D111" s="219">
        <f>C111+7</f>
        <v>44102</v>
      </c>
      <c r="E111" s="220"/>
      <c r="F111" s="220"/>
    </row>
    <row r="112" spans="1:6" ht="25.5">
      <c r="A112" s="209">
        <f t="shared" si="5"/>
        <v>25</v>
      </c>
      <c r="B112" s="218" t="s">
        <v>192</v>
      </c>
      <c r="C112" s="221"/>
      <c r="D112" s="219">
        <f>D111+15</f>
        <v>44117</v>
      </c>
      <c r="E112" s="222">
        <v>1</v>
      </c>
      <c r="F112" s="220"/>
    </row>
    <row r="113" spans="1:6" ht="42.75" customHeight="1">
      <c r="A113" s="212"/>
      <c r="B113" s="213" t="s">
        <v>467</v>
      </c>
      <c r="C113" s="216"/>
      <c r="D113" s="216"/>
      <c r="E113" s="214"/>
      <c r="F113" s="214"/>
    </row>
    <row r="114" spans="1:6" ht="12.75">
      <c r="A114" s="209">
        <f>A112+1</f>
        <v>26</v>
      </c>
      <c r="B114" s="218" t="s">
        <v>186</v>
      </c>
      <c r="C114" s="219">
        <f>C106+365</f>
        <v>44300</v>
      </c>
      <c r="D114" s="219">
        <f>C114+120</f>
        <v>44420</v>
      </c>
      <c r="E114" s="220"/>
      <c r="F114" s="220"/>
    </row>
    <row r="115" spans="1:6" ht="12.75">
      <c r="A115" s="209">
        <f aca="true" t="shared" si="6" ref="A115:A120">A114+1</f>
        <v>27</v>
      </c>
      <c r="B115" s="218" t="s">
        <v>187</v>
      </c>
      <c r="C115" s="219">
        <f>D114</f>
        <v>44420</v>
      </c>
      <c r="D115" s="219">
        <f>C115+30</f>
        <v>44450</v>
      </c>
      <c r="E115" s="220"/>
      <c r="F115" s="220"/>
    </row>
    <row r="116" spans="1:6" ht="12.75">
      <c r="A116" s="209">
        <f t="shared" si="6"/>
        <v>28</v>
      </c>
      <c r="B116" s="218" t="s">
        <v>188</v>
      </c>
      <c r="C116" s="219">
        <f>D115</f>
        <v>44450</v>
      </c>
      <c r="D116" s="219">
        <f>C116+10</f>
        <v>44460</v>
      </c>
      <c r="E116" s="220"/>
      <c r="F116" s="220"/>
    </row>
    <row r="117" spans="1:6" ht="12.75">
      <c r="A117" s="209">
        <f t="shared" si="6"/>
        <v>29</v>
      </c>
      <c r="B117" s="218" t="s">
        <v>189</v>
      </c>
      <c r="C117" s="221"/>
      <c r="D117" s="219">
        <f>D116</f>
        <v>44460</v>
      </c>
      <c r="E117" s="220"/>
      <c r="F117" s="220"/>
    </row>
    <row r="118" spans="1:6" ht="12.75">
      <c r="A118" s="209">
        <f t="shared" si="6"/>
        <v>30</v>
      </c>
      <c r="B118" s="213" t="s">
        <v>190</v>
      </c>
      <c r="C118" s="216"/>
      <c r="D118" s="216"/>
      <c r="E118" s="214"/>
      <c r="F118" s="214"/>
    </row>
    <row r="119" spans="1:6" ht="25.5">
      <c r="A119" s="209">
        <f t="shared" si="6"/>
        <v>31</v>
      </c>
      <c r="B119" s="218" t="s">
        <v>191</v>
      </c>
      <c r="C119" s="219">
        <f>D117</f>
        <v>44460</v>
      </c>
      <c r="D119" s="219">
        <f>C119+7</f>
        <v>44467</v>
      </c>
      <c r="E119" s="220"/>
      <c r="F119" s="220"/>
    </row>
    <row r="120" spans="1:6" ht="25.5">
      <c r="A120" s="209">
        <f t="shared" si="6"/>
        <v>32</v>
      </c>
      <c r="B120" s="218" t="s">
        <v>192</v>
      </c>
      <c r="C120" s="221"/>
      <c r="D120" s="219">
        <f>D119+15</f>
        <v>44482</v>
      </c>
      <c r="E120" s="222">
        <v>1</v>
      </c>
      <c r="F120" s="220"/>
    </row>
    <row r="121" spans="1:6" ht="40.5" customHeight="1">
      <c r="A121" s="212"/>
      <c r="B121" s="213" t="s">
        <v>468</v>
      </c>
      <c r="C121" s="216"/>
      <c r="D121" s="216"/>
      <c r="E121" s="214"/>
      <c r="F121" s="214"/>
    </row>
    <row r="122" spans="1:6" ht="12.75">
      <c r="A122" s="209">
        <f>A120+1</f>
        <v>33</v>
      </c>
      <c r="B122" s="218" t="s">
        <v>186</v>
      </c>
      <c r="C122" s="219">
        <f>C114+365</f>
        <v>44665</v>
      </c>
      <c r="D122" s="219">
        <f>C122+120</f>
        <v>44785</v>
      </c>
      <c r="E122" s="220"/>
      <c r="F122" s="220"/>
    </row>
    <row r="123" spans="1:6" ht="12.75">
      <c r="A123" s="209">
        <f aca="true" t="shared" si="7" ref="A123:A128">A122+1</f>
        <v>34</v>
      </c>
      <c r="B123" s="218" t="s">
        <v>187</v>
      </c>
      <c r="C123" s="219">
        <f>D122</f>
        <v>44785</v>
      </c>
      <c r="D123" s="219">
        <f>C123+30</f>
        <v>44815</v>
      </c>
      <c r="E123" s="220"/>
      <c r="F123" s="220"/>
    </row>
    <row r="124" spans="1:6" ht="12.75">
      <c r="A124" s="209">
        <f t="shared" si="7"/>
        <v>35</v>
      </c>
      <c r="B124" s="218" t="s">
        <v>188</v>
      </c>
      <c r="C124" s="219">
        <f>D123</f>
        <v>44815</v>
      </c>
      <c r="D124" s="219">
        <f>C124+10</f>
        <v>44825</v>
      </c>
      <c r="E124" s="220"/>
      <c r="F124" s="220"/>
    </row>
    <row r="125" spans="1:6" ht="12.75">
      <c r="A125" s="209">
        <f t="shared" si="7"/>
        <v>36</v>
      </c>
      <c r="B125" s="218" t="s">
        <v>189</v>
      </c>
      <c r="C125" s="221"/>
      <c r="D125" s="219">
        <f>D124</f>
        <v>44825</v>
      </c>
      <c r="E125" s="220"/>
      <c r="F125" s="220"/>
    </row>
    <row r="126" spans="1:6" ht="12.75">
      <c r="A126" s="209">
        <f t="shared" si="7"/>
        <v>37</v>
      </c>
      <c r="B126" s="213" t="s">
        <v>190</v>
      </c>
      <c r="C126" s="216"/>
      <c r="D126" s="216"/>
      <c r="E126" s="214"/>
      <c r="F126" s="214"/>
    </row>
    <row r="127" spans="1:6" ht="25.5">
      <c r="A127" s="209">
        <f t="shared" si="7"/>
        <v>38</v>
      </c>
      <c r="B127" s="218" t="s">
        <v>191</v>
      </c>
      <c r="C127" s="219">
        <f>D125</f>
        <v>44825</v>
      </c>
      <c r="D127" s="219">
        <f>C127+7</f>
        <v>44832</v>
      </c>
      <c r="E127" s="220"/>
      <c r="F127" s="220"/>
    </row>
    <row r="128" spans="1:6" ht="25.5">
      <c r="A128" s="209">
        <f t="shared" si="7"/>
        <v>39</v>
      </c>
      <c r="B128" s="218" t="s">
        <v>192</v>
      </c>
      <c r="C128" s="221"/>
      <c r="D128" s="219">
        <f>D127+15</f>
        <v>44847</v>
      </c>
      <c r="E128" s="222">
        <v>1</v>
      </c>
      <c r="F128" s="220"/>
    </row>
  </sheetData>
  <sheetProtection selectLockedCells="1" selectUnlockedCells="1"/>
  <mergeCells count="11">
    <mergeCell ref="E1:F1"/>
    <mergeCell ref="A17:A18"/>
    <mergeCell ref="B17:B18"/>
    <mergeCell ref="C17:D17"/>
    <mergeCell ref="E17:E18"/>
    <mergeCell ref="F17:F18"/>
    <mergeCell ref="A80:A81"/>
    <mergeCell ref="B80:B81"/>
    <mergeCell ref="C80:D80"/>
    <mergeCell ref="E80:E81"/>
    <mergeCell ref="F80:F81"/>
  </mergeCells>
  <printOptions/>
  <pageMargins left="1.2" right="0.3541666666666667" top="1.1680555555555556" bottom="0.39375" header="0.5118055555555555" footer="0.5118055555555555"/>
  <pageSetup horizontalDpi="300" verticalDpi="300" orientation="portrait" paperSize="9" scale="82" r:id="rId1"/>
  <rowBreaks count="8" manualBreakCount="8">
    <brk id="43" max="255" man="1"/>
    <brk id="75" max="255" man="1"/>
    <brk id="112" max="5" man="1"/>
    <brk id="137" max="255" man="1"/>
    <brk id="159" max="255" man="1"/>
    <brk id="180" max="255" man="1"/>
    <brk id="223" max="255" man="1"/>
    <brk id="2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80" zoomScaleNormal="50" zoomScaleSheetLayoutView="80" zoomScalePageLayoutView="0" workbookViewId="0" topLeftCell="A1">
      <selection activeCell="D18" sqref="D18"/>
    </sheetView>
  </sheetViews>
  <sheetFormatPr defaultColWidth="12.875" defaultRowHeight="12.75"/>
  <cols>
    <col min="1" max="1" width="7.375" style="1" customWidth="1"/>
    <col min="2" max="2" width="45.75390625" style="1" customWidth="1"/>
    <col min="3" max="3" width="18.00390625" style="1" customWidth="1"/>
    <col min="4" max="4" width="19.125" style="1" customWidth="1"/>
    <col min="5" max="16384" width="12.875" style="1" customWidth="1"/>
  </cols>
  <sheetData>
    <row r="1" spans="1:4" ht="36.75" customHeight="1">
      <c r="A1" s="86"/>
      <c r="B1" s="4"/>
      <c r="C1" s="300"/>
      <c r="D1" s="300"/>
    </row>
    <row r="2" spans="1:4" ht="25.5" customHeight="1">
      <c r="A2" s="86"/>
      <c r="B2" s="86"/>
      <c r="C2" s="86"/>
      <c r="D2" s="5"/>
    </row>
    <row r="3" spans="1:5" ht="18" customHeight="1">
      <c r="A3" s="86"/>
      <c r="B3" s="86"/>
      <c r="C3" s="75" t="s">
        <v>0</v>
      </c>
      <c r="D3" s="75"/>
      <c r="E3" s="75"/>
    </row>
    <row r="4" spans="1:5" ht="15.75" customHeight="1">
      <c r="A4" s="86"/>
      <c r="B4" s="18"/>
      <c r="C4" s="75"/>
      <c r="D4" s="75"/>
      <c r="E4" s="75"/>
    </row>
    <row r="5" spans="1:5" ht="15.75">
      <c r="A5" s="86"/>
      <c r="B5" s="86"/>
      <c r="C5" s="75" t="s">
        <v>1</v>
      </c>
      <c r="D5" s="75"/>
      <c r="E5" s="75"/>
    </row>
    <row r="6" spans="1:5" ht="15.75">
      <c r="A6" s="86"/>
      <c r="B6" s="4"/>
      <c r="C6" s="75"/>
      <c r="D6" s="75"/>
      <c r="E6" s="75"/>
    </row>
    <row r="7" spans="1:5" ht="15.75">
      <c r="A7" s="86"/>
      <c r="B7" s="115"/>
      <c r="C7" s="75" t="s">
        <v>2</v>
      </c>
      <c r="D7" s="75"/>
      <c r="E7" s="75"/>
    </row>
    <row r="8" spans="1:5" ht="15.75">
      <c r="A8" s="86"/>
      <c r="B8" s="86"/>
      <c r="C8" s="75"/>
      <c r="D8" s="75"/>
      <c r="E8" s="75"/>
    </row>
    <row r="9" spans="1:5" ht="18.75">
      <c r="A9" s="86"/>
      <c r="B9" s="86"/>
      <c r="C9" s="8" t="s">
        <v>420</v>
      </c>
      <c r="D9" s="75"/>
      <c r="E9" s="75"/>
    </row>
    <row r="10" spans="1:5" ht="15.75">
      <c r="A10" s="86"/>
      <c r="B10" s="86"/>
      <c r="C10" s="75"/>
      <c r="D10" s="75"/>
      <c r="E10" s="75"/>
    </row>
    <row r="11" spans="1:4" ht="15.75">
      <c r="A11" s="86" t="s">
        <v>196</v>
      </c>
      <c r="B11" s="86"/>
      <c r="C11" s="86"/>
      <c r="D11" s="86"/>
    </row>
    <row r="13" spans="1:4" ht="36.75" customHeight="1">
      <c r="A13" s="223" t="s">
        <v>69</v>
      </c>
      <c r="B13" s="223" t="s">
        <v>197</v>
      </c>
      <c r="C13" s="223" t="s">
        <v>198</v>
      </c>
      <c r="D13" s="48"/>
    </row>
    <row r="14" spans="1:4" ht="15.75">
      <c r="A14" s="224">
        <v>1</v>
      </c>
      <c r="B14" s="173" t="s">
        <v>179</v>
      </c>
      <c r="C14" s="225"/>
      <c r="D14" s="24"/>
    </row>
    <row r="15" spans="1:4" ht="12.75">
      <c r="A15" s="226" t="s">
        <v>199</v>
      </c>
      <c r="B15" s="173" t="s">
        <v>193</v>
      </c>
      <c r="C15" s="224" t="s">
        <v>200</v>
      </c>
      <c r="D15" s="116"/>
    </row>
    <row r="16" spans="1:4" ht="12.75">
      <c r="A16" s="226" t="s">
        <v>201</v>
      </c>
      <c r="B16" s="173" t="s">
        <v>194</v>
      </c>
      <c r="C16" s="224" t="s">
        <v>200</v>
      </c>
      <c r="D16" s="116"/>
    </row>
    <row r="17" spans="1:4" ht="25.5">
      <c r="A17" s="226" t="s">
        <v>66</v>
      </c>
      <c r="B17" s="173" t="s">
        <v>180</v>
      </c>
      <c r="C17" s="224" t="s">
        <v>200</v>
      </c>
      <c r="D17" s="116"/>
    </row>
    <row r="18" spans="1:4" ht="38.25">
      <c r="A18" s="226" t="s">
        <v>202</v>
      </c>
      <c r="B18" s="173" t="s">
        <v>203</v>
      </c>
      <c r="C18" s="224" t="s">
        <v>200</v>
      </c>
      <c r="D18" s="116"/>
    </row>
    <row r="19" spans="1:4" ht="12.75">
      <c r="A19" s="226" t="s">
        <v>204</v>
      </c>
      <c r="B19" s="173" t="s">
        <v>181</v>
      </c>
      <c r="C19" s="224" t="s">
        <v>200</v>
      </c>
      <c r="D19" s="116"/>
    </row>
    <row r="20" spans="1:4" ht="12.75">
      <c r="A20" s="226" t="s">
        <v>205</v>
      </c>
      <c r="B20" s="173" t="s">
        <v>182</v>
      </c>
      <c r="C20" s="224" t="s">
        <v>206</v>
      </c>
      <c r="D20" s="116"/>
    </row>
    <row r="21" spans="1:4" ht="12.75">
      <c r="A21" s="226" t="s">
        <v>207</v>
      </c>
      <c r="B21" s="173" t="s">
        <v>183</v>
      </c>
      <c r="C21" s="224" t="s">
        <v>200</v>
      </c>
      <c r="D21" s="116"/>
    </row>
    <row r="22" spans="1:4" ht="25.5">
      <c r="A22" s="226" t="s">
        <v>35</v>
      </c>
      <c r="B22" s="173" t="s">
        <v>208</v>
      </c>
      <c r="C22" s="224" t="s">
        <v>200</v>
      </c>
      <c r="D22" s="116"/>
    </row>
    <row r="23" spans="1:4" ht="25.5">
      <c r="A23" s="226" t="s">
        <v>209</v>
      </c>
      <c r="B23" s="173" t="s">
        <v>195</v>
      </c>
      <c r="C23" s="224" t="s">
        <v>200</v>
      </c>
      <c r="D23" s="116"/>
    </row>
    <row r="24" spans="1:4" ht="25.5">
      <c r="A24" s="226" t="s">
        <v>210</v>
      </c>
      <c r="B24" s="173" t="s">
        <v>211</v>
      </c>
      <c r="C24" s="224" t="s">
        <v>200</v>
      </c>
      <c r="D24" s="116"/>
    </row>
    <row r="25" spans="1:4" ht="25.5">
      <c r="A25" s="226" t="s">
        <v>212</v>
      </c>
      <c r="B25" s="173" t="s">
        <v>185</v>
      </c>
      <c r="C25" s="224"/>
      <c r="D25" s="116"/>
    </row>
    <row r="26" spans="1:4" ht="25.5">
      <c r="A26" s="226" t="s">
        <v>213</v>
      </c>
      <c r="B26" s="173" t="s">
        <v>214</v>
      </c>
      <c r="C26" s="224" t="s">
        <v>206</v>
      </c>
      <c r="D26" s="116"/>
    </row>
    <row r="27" spans="1:4" ht="12.75">
      <c r="A27" s="226" t="s">
        <v>215</v>
      </c>
      <c r="B27" s="173" t="s">
        <v>186</v>
      </c>
      <c r="C27" s="224" t="s">
        <v>200</v>
      </c>
      <c r="D27" s="116"/>
    </row>
    <row r="28" spans="1:4" ht="12.75">
      <c r="A28" s="226" t="s">
        <v>216</v>
      </c>
      <c r="B28" s="173" t="s">
        <v>187</v>
      </c>
      <c r="C28" s="224" t="s">
        <v>206</v>
      </c>
      <c r="D28" s="116"/>
    </row>
    <row r="29" spans="1:4" ht="12.75">
      <c r="A29" s="226" t="s">
        <v>217</v>
      </c>
      <c r="B29" s="173" t="s">
        <v>188</v>
      </c>
      <c r="C29" s="224" t="s">
        <v>206</v>
      </c>
      <c r="D29" s="116"/>
    </row>
    <row r="30" spans="1:4" ht="12.75">
      <c r="A30" s="226" t="s">
        <v>218</v>
      </c>
      <c r="B30" s="173" t="s">
        <v>189</v>
      </c>
      <c r="C30" s="224" t="s">
        <v>200</v>
      </c>
      <c r="D30" s="116"/>
    </row>
    <row r="31" spans="1:4" ht="12.75">
      <c r="A31" s="226" t="s">
        <v>219</v>
      </c>
      <c r="B31" s="173" t="s">
        <v>190</v>
      </c>
      <c r="C31" s="224"/>
      <c r="D31" s="116"/>
    </row>
    <row r="32" spans="1:4" ht="12.75">
      <c r="A32" s="226" t="s">
        <v>220</v>
      </c>
      <c r="B32" s="173" t="s">
        <v>191</v>
      </c>
      <c r="C32" s="224" t="s">
        <v>206</v>
      </c>
      <c r="D32" s="116"/>
    </row>
    <row r="33" spans="1:4" ht="38.25">
      <c r="A33" s="226" t="s">
        <v>221</v>
      </c>
      <c r="B33" s="173" t="s">
        <v>222</v>
      </c>
      <c r="C33" s="224" t="s">
        <v>200</v>
      </c>
      <c r="D33" s="116"/>
    </row>
    <row r="34" spans="1:4" ht="25.5">
      <c r="A34" s="226" t="s">
        <v>223</v>
      </c>
      <c r="B34" s="173" t="s">
        <v>224</v>
      </c>
      <c r="C34" s="224" t="s">
        <v>200</v>
      </c>
      <c r="D34" s="116"/>
    </row>
    <row r="35" spans="1:4" ht="12.75">
      <c r="A35" s="226" t="s">
        <v>225</v>
      </c>
      <c r="B35" s="173" t="s">
        <v>192</v>
      </c>
      <c r="C35" s="224" t="s">
        <v>200</v>
      </c>
      <c r="D35" s="116"/>
    </row>
  </sheetData>
  <sheetProtection selectLockedCells="1" selectUnlockedCells="1"/>
  <mergeCells count="1">
    <mergeCell ref="C1:D1"/>
  </mergeCells>
  <printOptions/>
  <pageMargins left="1.1777777777777778" right="0.5909722222222222" top="0.625" bottom="0.4895833333333333" header="0.5118055555555555" footer="0.5118055555555555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="80" zoomScaleNormal="50" zoomScaleSheetLayoutView="80" zoomScalePageLayoutView="0" workbookViewId="0" topLeftCell="A7">
      <selection activeCell="C39" sqref="C39"/>
    </sheetView>
  </sheetViews>
  <sheetFormatPr defaultColWidth="1.00390625" defaultRowHeight="12.75"/>
  <cols>
    <col min="1" max="1" width="6.625" style="1" customWidth="1"/>
    <col min="2" max="2" width="27.75390625" style="1" customWidth="1"/>
    <col min="3" max="8" width="11.875" style="1" customWidth="1"/>
    <col min="9" max="9" width="6.625" style="1" customWidth="1"/>
    <col min="10" max="153" width="1.00390625" style="1" customWidth="1"/>
    <col min="154" max="16384" width="1.00390625" style="50" customWidth="1"/>
  </cols>
  <sheetData>
    <row r="1" spans="5:256" ht="51.75" customHeight="1">
      <c r="E1" s="120"/>
      <c r="F1" s="120"/>
      <c r="G1" s="305"/>
      <c r="H1" s="305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154:256" ht="15.75"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</row>
    <row r="3" spans="1:9" s="78" customFormat="1" ht="28.5" customHeight="1">
      <c r="A3" s="50"/>
      <c r="B3" s="121"/>
      <c r="C3" s="121"/>
      <c r="D3" s="121"/>
      <c r="E3" s="75" t="s">
        <v>0</v>
      </c>
      <c r="F3" s="75"/>
      <c r="G3" s="75"/>
      <c r="H3" s="75"/>
      <c r="I3" s="1"/>
    </row>
    <row r="4" spans="5:8" ht="15.75">
      <c r="E4" s="75"/>
      <c r="F4" s="75"/>
      <c r="G4" s="75"/>
      <c r="H4" s="75"/>
    </row>
    <row r="5" spans="5:8" ht="24.75" customHeight="1">
      <c r="E5" s="75" t="s">
        <v>1</v>
      </c>
      <c r="F5" s="75"/>
      <c r="G5" s="75"/>
      <c r="H5" s="75"/>
    </row>
    <row r="6" spans="5:8" ht="15.75">
      <c r="E6" s="75"/>
      <c r="F6" s="75"/>
      <c r="G6" s="75"/>
      <c r="H6" s="75"/>
    </row>
    <row r="7" spans="5:9" ht="15.75">
      <c r="E7" s="75" t="s">
        <v>226</v>
      </c>
      <c r="F7" s="75"/>
      <c r="G7" s="75"/>
      <c r="H7" s="75"/>
      <c r="I7" s="78"/>
    </row>
    <row r="8" spans="5:8" ht="12.75">
      <c r="E8" s="50"/>
      <c r="F8" s="50"/>
      <c r="G8" s="50"/>
      <c r="H8" s="50"/>
    </row>
    <row r="9" spans="5:8" ht="12.75">
      <c r="E9" s="50"/>
      <c r="F9" s="50"/>
      <c r="G9" s="50"/>
      <c r="H9" s="50"/>
    </row>
    <row r="10" spans="5:8" ht="18.75">
      <c r="E10" s="8" t="s">
        <v>420</v>
      </c>
      <c r="F10" s="75"/>
      <c r="G10" s="75"/>
      <c r="H10" s="75"/>
    </row>
    <row r="11" spans="5:8" ht="15.75">
      <c r="E11" s="75"/>
      <c r="F11" s="75"/>
      <c r="G11" s="75"/>
      <c r="H11" s="75"/>
    </row>
    <row r="12" spans="2:8" ht="29.25" customHeight="1">
      <c r="B12" s="306" t="s">
        <v>306</v>
      </c>
      <c r="C12" s="306"/>
      <c r="D12" s="306"/>
      <c r="E12" s="306"/>
      <c r="F12" s="306"/>
      <c r="G12" s="306"/>
      <c r="H12" s="306"/>
    </row>
    <row r="13" spans="5:8" ht="12.75">
      <c r="E13" s="50"/>
      <c r="F13" s="50"/>
      <c r="G13" s="50"/>
      <c r="H13" s="50"/>
    </row>
    <row r="14" spans="1:8" ht="38.25" customHeight="1">
      <c r="A14" s="230" t="s">
        <v>4</v>
      </c>
      <c r="B14" s="230" t="s">
        <v>307</v>
      </c>
      <c r="C14" s="160">
        <v>2018</v>
      </c>
      <c r="D14" s="160">
        <v>2019</v>
      </c>
      <c r="E14" s="160">
        <v>2020</v>
      </c>
      <c r="F14" s="160">
        <v>2021</v>
      </c>
      <c r="G14" s="160">
        <v>2022</v>
      </c>
      <c r="H14" s="231" t="s">
        <v>308</v>
      </c>
    </row>
    <row r="15" spans="1:8" s="122" customFormat="1" ht="12.75">
      <c r="A15" s="232" t="s">
        <v>20</v>
      </c>
      <c r="B15" s="233" t="s">
        <v>309</v>
      </c>
      <c r="C15" s="234">
        <f>C16+C23</f>
        <v>6.787119329474813</v>
      </c>
      <c r="D15" s="234">
        <f>D16+D23</f>
        <v>6.533598719289465</v>
      </c>
      <c r="E15" s="234">
        <f>E16+E23</f>
        <v>6.894908077249273</v>
      </c>
      <c r="F15" s="234">
        <f>F16+F23</f>
        <v>7.14062988770813</v>
      </c>
      <c r="G15" s="234">
        <f>G16+G23</f>
        <v>7.594632819780907</v>
      </c>
      <c r="H15" s="234">
        <f>SUM(C15:G15)</f>
        <v>34.95088883350259</v>
      </c>
    </row>
    <row r="16" spans="1:8" s="122" customFormat="1" ht="24.75" customHeight="1">
      <c r="A16" s="232" t="s">
        <v>22</v>
      </c>
      <c r="B16" s="233" t="s">
        <v>310</v>
      </c>
      <c r="C16" s="234">
        <f>C17</f>
        <v>2.4811193294748133</v>
      </c>
      <c r="D16" s="234">
        <f>D17</f>
        <v>4.125526877612353</v>
      </c>
      <c r="E16" s="234">
        <f>E17</f>
        <v>4.303358312884382</v>
      </c>
      <c r="F16" s="234">
        <f>F17</f>
        <v>4.401354425809366</v>
      </c>
      <c r="G16" s="234">
        <f>G17</f>
        <v>4.614302107451358</v>
      </c>
      <c r="H16" s="234">
        <f>SUM(C16:G16)</f>
        <v>19.92566105323227</v>
      </c>
    </row>
    <row r="17" spans="1:8" s="122" customFormat="1" ht="24.75" customHeight="1">
      <c r="A17" s="232" t="s">
        <v>311</v>
      </c>
      <c r="B17" s="233" t="s">
        <v>312</v>
      </c>
      <c r="C17" s="234">
        <f>'4.1'!C74-C23</f>
        <v>2.4811193294748133</v>
      </c>
      <c r="D17" s="234">
        <f>'4.1'!D74-D23</f>
        <v>4.125526877612353</v>
      </c>
      <c r="E17" s="234">
        <f>'4.1'!E74-E23</f>
        <v>4.303358312884382</v>
      </c>
      <c r="F17" s="234">
        <f>'4.1'!F74-F23</f>
        <v>4.401354425809366</v>
      </c>
      <c r="G17" s="234">
        <f>'4.1'!G74-G23</f>
        <v>4.614302107451358</v>
      </c>
      <c r="H17" s="234">
        <f>SUM(C17:G17)</f>
        <v>19.92566105323227</v>
      </c>
    </row>
    <row r="18" spans="1:8" s="122" customFormat="1" ht="24.75" customHeight="1">
      <c r="A18" s="232" t="s">
        <v>313</v>
      </c>
      <c r="B18" s="233" t="s">
        <v>314</v>
      </c>
      <c r="C18" s="223"/>
      <c r="D18" s="223"/>
      <c r="E18" s="223"/>
      <c r="F18" s="223"/>
      <c r="G18" s="223"/>
      <c r="H18" s="223"/>
    </row>
    <row r="19" spans="1:8" s="122" customFormat="1" ht="38.25">
      <c r="A19" s="232" t="s">
        <v>315</v>
      </c>
      <c r="B19" s="233" t="s">
        <v>316</v>
      </c>
      <c r="C19" s="223"/>
      <c r="D19" s="223"/>
      <c r="E19" s="223"/>
      <c r="F19" s="223"/>
      <c r="G19" s="223"/>
      <c r="H19" s="223"/>
    </row>
    <row r="20" spans="1:8" s="122" customFormat="1" ht="25.5">
      <c r="A20" s="232" t="s">
        <v>317</v>
      </c>
      <c r="B20" s="233" t="s">
        <v>318</v>
      </c>
      <c r="C20" s="223"/>
      <c r="D20" s="223"/>
      <c r="E20" s="223"/>
      <c r="F20" s="223"/>
      <c r="G20" s="223"/>
      <c r="H20" s="223"/>
    </row>
    <row r="21" spans="1:8" s="122" customFormat="1" ht="25.5">
      <c r="A21" s="232" t="s">
        <v>319</v>
      </c>
      <c r="B21" s="233" t="s">
        <v>320</v>
      </c>
      <c r="C21" s="223"/>
      <c r="D21" s="223"/>
      <c r="E21" s="223"/>
      <c r="F21" s="223"/>
      <c r="G21" s="223"/>
      <c r="H21" s="223"/>
    </row>
    <row r="22" spans="1:8" s="122" customFormat="1" ht="12.75">
      <c r="A22" s="232" t="s">
        <v>321</v>
      </c>
      <c r="B22" s="233" t="s">
        <v>322</v>
      </c>
      <c r="C22" s="223"/>
      <c r="D22" s="223"/>
      <c r="E22" s="223"/>
      <c r="F22" s="223"/>
      <c r="G22" s="223"/>
      <c r="H22" s="223"/>
    </row>
    <row r="23" spans="1:8" s="122" customFormat="1" ht="12.75">
      <c r="A23" s="232" t="s">
        <v>24</v>
      </c>
      <c r="B23" s="233" t="s">
        <v>152</v>
      </c>
      <c r="C23" s="223">
        <f>'4.1'!C26</f>
        <v>4.306</v>
      </c>
      <c r="D23" s="234">
        <f>'4.1'!D26</f>
        <v>2.408071841677112</v>
      </c>
      <c r="E23" s="234">
        <f>'4.1'!E26</f>
        <v>2.591549764364891</v>
      </c>
      <c r="F23" s="234">
        <f>'4.1'!F26</f>
        <v>2.7392754618987643</v>
      </c>
      <c r="G23" s="234">
        <f>'4.1'!G26</f>
        <v>2.9803307123295486</v>
      </c>
      <c r="H23" s="234">
        <f>SUM(C23:G23)</f>
        <v>15.025227780270315</v>
      </c>
    </row>
    <row r="24" spans="1:8" s="122" customFormat="1" ht="25.5">
      <c r="A24" s="232" t="s">
        <v>323</v>
      </c>
      <c r="B24" s="233" t="s">
        <v>324</v>
      </c>
      <c r="C24" s="223">
        <f>C23</f>
        <v>4.306</v>
      </c>
      <c r="D24" s="234">
        <f>D23</f>
        <v>2.408071841677112</v>
      </c>
      <c r="E24" s="234">
        <f>E23</f>
        <v>2.591549764364891</v>
      </c>
      <c r="F24" s="234">
        <f>F23</f>
        <v>2.7392754618987643</v>
      </c>
      <c r="G24" s="234">
        <f>G23</f>
        <v>2.9803307123295486</v>
      </c>
      <c r="H24" s="234">
        <f>SUM(C24:G24)</f>
        <v>15.025227780270315</v>
      </c>
    </row>
    <row r="25" spans="1:8" s="122" customFormat="1" ht="12.75">
      <c r="A25" s="232" t="s">
        <v>325</v>
      </c>
      <c r="B25" s="233" t="s">
        <v>326</v>
      </c>
      <c r="C25" s="223"/>
      <c r="D25" s="223"/>
      <c r="E25" s="223"/>
      <c r="F25" s="223"/>
      <c r="G25" s="223"/>
      <c r="H25" s="223"/>
    </row>
    <row r="26" spans="1:8" s="122" customFormat="1" ht="25.5">
      <c r="A26" s="232" t="s">
        <v>327</v>
      </c>
      <c r="B26" s="233" t="s">
        <v>328</v>
      </c>
      <c r="C26" s="223"/>
      <c r="D26" s="223"/>
      <c r="E26" s="223"/>
      <c r="F26" s="223"/>
      <c r="G26" s="223"/>
      <c r="H26" s="223"/>
    </row>
    <row r="27" spans="1:8" s="122" customFormat="1" ht="12.75">
      <c r="A27" s="232" t="s">
        <v>28</v>
      </c>
      <c r="B27" s="233" t="s">
        <v>329</v>
      </c>
      <c r="C27" s="223"/>
      <c r="D27" s="223"/>
      <c r="E27" s="223"/>
      <c r="F27" s="223"/>
      <c r="G27" s="223"/>
      <c r="H27" s="223"/>
    </row>
    <row r="28" spans="1:8" s="122" customFormat="1" ht="12.75">
      <c r="A28" s="232" t="s">
        <v>31</v>
      </c>
      <c r="B28" s="233" t="s">
        <v>330</v>
      </c>
      <c r="C28" s="223"/>
      <c r="D28" s="223"/>
      <c r="E28" s="223"/>
      <c r="F28" s="223"/>
      <c r="G28" s="223"/>
      <c r="H28" s="223"/>
    </row>
    <row r="29" spans="1:8" s="122" customFormat="1" ht="12.75">
      <c r="A29" s="232" t="s">
        <v>331</v>
      </c>
      <c r="B29" s="233" t="s">
        <v>332</v>
      </c>
      <c r="C29" s="223"/>
      <c r="D29" s="223"/>
      <c r="E29" s="223"/>
      <c r="F29" s="223"/>
      <c r="G29" s="223"/>
      <c r="H29" s="223"/>
    </row>
    <row r="30" spans="1:8" s="122" customFormat="1" ht="24.75" customHeight="1">
      <c r="A30" s="232" t="s">
        <v>33</v>
      </c>
      <c r="B30" s="233" t="s">
        <v>333</v>
      </c>
      <c r="C30" s="223"/>
      <c r="D30" s="223"/>
      <c r="E30" s="223"/>
      <c r="F30" s="223"/>
      <c r="G30" s="223"/>
      <c r="H30" s="223"/>
    </row>
    <row r="31" spans="1:8" s="122" customFormat="1" ht="12.75">
      <c r="A31" s="232" t="s">
        <v>62</v>
      </c>
      <c r="B31" s="233" t="s">
        <v>334</v>
      </c>
      <c r="C31" s="223"/>
      <c r="D31" s="223"/>
      <c r="E31" s="223"/>
      <c r="F31" s="223"/>
      <c r="G31" s="223"/>
      <c r="H31" s="223"/>
    </row>
    <row r="32" spans="1:8" s="122" customFormat="1" ht="12.75">
      <c r="A32" s="232" t="s">
        <v>64</v>
      </c>
      <c r="B32" s="233" t="s">
        <v>335</v>
      </c>
      <c r="C32" s="223"/>
      <c r="D32" s="223"/>
      <c r="E32" s="223"/>
      <c r="F32" s="223"/>
      <c r="G32" s="223"/>
      <c r="H32" s="223"/>
    </row>
    <row r="33" spans="1:8" s="122" customFormat="1" ht="12.75">
      <c r="A33" s="232" t="s">
        <v>37</v>
      </c>
      <c r="B33" s="233" t="s">
        <v>336</v>
      </c>
      <c r="C33" s="223"/>
      <c r="D33" s="223"/>
      <c r="E33" s="223"/>
      <c r="F33" s="223"/>
      <c r="G33" s="223"/>
      <c r="H33" s="223"/>
    </row>
    <row r="34" spans="1:8" s="122" customFormat="1" ht="12.75">
      <c r="A34" s="232" t="s">
        <v>337</v>
      </c>
      <c r="B34" s="233" t="s">
        <v>338</v>
      </c>
      <c r="C34" s="223"/>
      <c r="D34" s="223"/>
      <c r="E34" s="223"/>
      <c r="F34" s="223"/>
      <c r="G34" s="223"/>
      <c r="H34" s="223"/>
    </row>
    <row r="35" spans="1:8" s="122" customFormat="1" ht="12.75">
      <c r="A35" s="232" t="s">
        <v>339</v>
      </c>
      <c r="B35" s="233" t="s">
        <v>340</v>
      </c>
      <c r="C35" s="223"/>
      <c r="D35" s="223"/>
      <c r="E35" s="223"/>
      <c r="F35" s="223"/>
      <c r="G35" s="223"/>
      <c r="H35" s="223"/>
    </row>
    <row r="36" spans="1:8" s="122" customFormat="1" ht="12.75">
      <c r="A36" s="232" t="s">
        <v>341</v>
      </c>
      <c r="B36" s="233" t="s">
        <v>342</v>
      </c>
      <c r="C36" s="223"/>
      <c r="D36" s="223"/>
      <c r="E36" s="223"/>
      <c r="F36" s="223"/>
      <c r="G36" s="223"/>
      <c r="H36" s="223"/>
    </row>
    <row r="37" spans="1:8" s="122" customFormat="1" ht="12.75">
      <c r="A37" s="232" t="s">
        <v>343</v>
      </c>
      <c r="B37" s="233" t="s">
        <v>344</v>
      </c>
      <c r="C37" s="223"/>
      <c r="D37" s="223"/>
      <c r="E37" s="223"/>
      <c r="F37" s="223"/>
      <c r="G37" s="223"/>
      <c r="H37" s="223"/>
    </row>
    <row r="38" spans="1:8" s="122" customFormat="1" ht="12.75">
      <c r="A38" s="232" t="s">
        <v>345</v>
      </c>
      <c r="B38" s="233" t="s">
        <v>346</v>
      </c>
      <c r="C38" s="223"/>
      <c r="D38" s="223"/>
      <c r="E38" s="223"/>
      <c r="F38" s="223"/>
      <c r="G38" s="223"/>
      <c r="H38" s="223"/>
    </row>
    <row r="39" spans="1:8" s="123" customFormat="1" ht="24.75" customHeight="1">
      <c r="A39" s="235"/>
      <c r="B39" s="291" t="s">
        <v>347</v>
      </c>
      <c r="C39" s="236">
        <f aca="true" t="shared" si="0" ref="C39:H39">C15</f>
        <v>6.787119329474813</v>
      </c>
      <c r="D39" s="236">
        <f t="shared" si="0"/>
        <v>6.533598719289465</v>
      </c>
      <c r="E39" s="236">
        <f t="shared" si="0"/>
        <v>6.894908077249273</v>
      </c>
      <c r="F39" s="236">
        <f t="shared" si="0"/>
        <v>7.14062988770813</v>
      </c>
      <c r="G39" s="236">
        <f t="shared" si="0"/>
        <v>7.594632819780907</v>
      </c>
      <c r="H39" s="236">
        <f t="shared" si="0"/>
        <v>34.95088883350259</v>
      </c>
    </row>
    <row r="40" spans="1:8" s="122" customFormat="1" ht="12.75">
      <c r="A40" s="232"/>
      <c r="B40" s="237" t="s">
        <v>348</v>
      </c>
      <c r="C40" s="223"/>
      <c r="D40" s="223"/>
      <c r="E40" s="223"/>
      <c r="F40" s="223"/>
      <c r="G40" s="223"/>
      <c r="H40" s="223"/>
    </row>
    <row r="41" spans="1:8" s="122" customFormat="1" ht="12.75">
      <c r="A41" s="232"/>
      <c r="B41" s="238" t="s">
        <v>349</v>
      </c>
      <c r="C41" s="223"/>
      <c r="D41" s="223"/>
      <c r="E41" s="223"/>
      <c r="F41" s="223"/>
      <c r="G41" s="223"/>
      <c r="H41" s="223"/>
    </row>
    <row r="42" spans="1:8" s="122" customFormat="1" ht="12.75">
      <c r="A42" s="232"/>
      <c r="B42" s="238" t="s">
        <v>350</v>
      </c>
      <c r="C42" s="223"/>
      <c r="D42" s="223"/>
      <c r="E42" s="223"/>
      <c r="F42" s="223"/>
      <c r="G42" s="223"/>
      <c r="H42" s="223"/>
    </row>
  </sheetData>
  <sheetProtection selectLockedCells="1" selectUnlockedCells="1"/>
  <mergeCells count="2">
    <mergeCell ref="G1:H1"/>
    <mergeCell ref="B12:H12"/>
  </mergeCells>
  <printOptions/>
  <pageMargins left="1.163888888888889" right="0.3194444444444444" top="0.7875" bottom="0.7875" header="0.5118055555555555" footer="0.5118055555555555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view="pageBreakPreview" zoomScaleNormal="50" zoomScaleSheetLayoutView="100" zoomScalePageLayoutView="0" workbookViewId="0" topLeftCell="A76">
      <selection activeCell="F3" sqref="F3"/>
    </sheetView>
  </sheetViews>
  <sheetFormatPr defaultColWidth="1.00390625" defaultRowHeight="12.75"/>
  <cols>
    <col min="1" max="1" width="7.125" style="1" customWidth="1"/>
    <col min="2" max="2" width="41.125" style="117" customWidth="1"/>
    <col min="3" max="6" width="12.625" style="1" customWidth="1"/>
    <col min="7" max="7" width="14.125" style="1" customWidth="1"/>
    <col min="8" max="8" width="8.25390625" style="1" customWidth="1"/>
    <col min="9" max="15" width="17.625" style="1" customWidth="1"/>
    <col min="16" max="159" width="1.00390625" style="1" customWidth="1"/>
    <col min="160" max="16384" width="1.00390625" style="50" customWidth="1"/>
  </cols>
  <sheetData>
    <row r="1" spans="4:256" ht="49.5" customHeight="1">
      <c r="D1" s="50"/>
      <c r="E1" s="79"/>
      <c r="F1" s="305"/>
      <c r="G1" s="305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4:256" ht="15.75" customHeight="1">
      <c r="D2" s="50"/>
      <c r="E2" s="79"/>
      <c r="F2" s="118"/>
      <c r="G2" s="11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</row>
    <row r="3" spans="4:256" ht="15.75" customHeight="1">
      <c r="D3" s="50"/>
      <c r="E3" s="75" t="s">
        <v>0</v>
      </c>
      <c r="F3" s="75"/>
      <c r="G3" s="75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</row>
    <row r="4" spans="5:256" ht="15.75" customHeight="1">
      <c r="E4" s="75" t="s">
        <v>1</v>
      </c>
      <c r="F4" s="75"/>
      <c r="G4" s="75"/>
      <c r="H4" s="75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pans="5:256" ht="15.75" customHeight="1">
      <c r="E5" s="75"/>
      <c r="F5" s="75"/>
      <c r="G5" s="75"/>
      <c r="H5" s="75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5:256" ht="15.75" customHeight="1">
      <c r="E6" s="75" t="s">
        <v>226</v>
      </c>
      <c r="F6" s="75"/>
      <c r="G6" s="75"/>
      <c r="H6" s="75"/>
      <c r="I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5:256" ht="15.75" customHeight="1">
      <c r="E7" s="75"/>
      <c r="F7" s="75"/>
      <c r="G7" s="75"/>
      <c r="H7" s="75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5:256" ht="15.75" customHeight="1">
      <c r="E8" s="8" t="s">
        <v>420</v>
      </c>
      <c r="F8" s="75"/>
      <c r="G8" s="75"/>
      <c r="H8" s="75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5:256" ht="15.75" customHeight="1">
      <c r="E9" s="75"/>
      <c r="F9" s="75"/>
      <c r="G9" s="75"/>
      <c r="H9" s="75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9" s="78" customFormat="1" ht="28.5" customHeight="1">
      <c r="A10" s="306" t="s">
        <v>227</v>
      </c>
      <c r="B10" s="306"/>
      <c r="C10" s="306"/>
      <c r="D10" s="306"/>
      <c r="E10" s="306"/>
      <c r="F10" s="306"/>
      <c r="G10" s="306"/>
      <c r="H10" s="75"/>
      <c r="I10" s="1"/>
    </row>
    <row r="11" ht="13.5" customHeight="1">
      <c r="G11" s="20" t="s">
        <v>18</v>
      </c>
    </row>
    <row r="12" spans="1:7" ht="13.5" customHeight="1">
      <c r="A12" s="292" t="s">
        <v>69</v>
      </c>
      <c r="B12" s="292" t="s">
        <v>228</v>
      </c>
      <c r="C12" s="160">
        <v>2018</v>
      </c>
      <c r="D12" s="160">
        <v>2019</v>
      </c>
      <c r="E12" s="160">
        <v>2020</v>
      </c>
      <c r="F12" s="160">
        <v>2021</v>
      </c>
      <c r="G12" s="160">
        <v>2022</v>
      </c>
    </row>
    <row r="13" spans="1:7" ht="13.5" customHeight="1">
      <c r="A13" s="292"/>
      <c r="B13" s="292"/>
      <c r="C13" s="160" t="s">
        <v>58</v>
      </c>
      <c r="D13" s="160" t="s">
        <v>58</v>
      </c>
      <c r="E13" s="160" t="s">
        <v>58</v>
      </c>
      <c r="F13" s="160" t="s">
        <v>58</v>
      </c>
      <c r="G13" s="160" t="s">
        <v>58</v>
      </c>
    </row>
    <row r="14" spans="1:7" ht="13.5" customHeight="1">
      <c r="A14" s="157">
        <v>1</v>
      </c>
      <c r="B14" s="158">
        <v>2</v>
      </c>
      <c r="C14" s="157">
        <v>3</v>
      </c>
      <c r="D14" s="158">
        <v>4</v>
      </c>
      <c r="E14" s="157">
        <v>5</v>
      </c>
      <c r="F14" s="158">
        <v>6</v>
      </c>
      <c r="G14" s="157">
        <v>7</v>
      </c>
    </row>
    <row r="15" spans="1:7" s="119" customFormat="1" ht="29.25" customHeight="1">
      <c r="A15" s="159" t="s">
        <v>229</v>
      </c>
      <c r="B15" s="164" t="s">
        <v>230</v>
      </c>
      <c r="C15" s="162">
        <f>C19+C33</f>
        <v>67.9690466383093</v>
      </c>
      <c r="D15" s="162">
        <f>D19+D33</f>
        <v>70.9445441920032</v>
      </c>
      <c r="E15" s="162">
        <f>E19+E33</f>
        <v>73.78053886690068</v>
      </c>
      <c r="F15" s="162">
        <f>F19+F33</f>
        <v>76.62228946407993</v>
      </c>
      <c r="G15" s="162">
        <f>G19+G33</f>
        <v>79.83133769546718</v>
      </c>
    </row>
    <row r="16" spans="1:7" ht="15.75" customHeight="1">
      <c r="A16" s="163"/>
      <c r="B16" s="168" t="s">
        <v>231</v>
      </c>
      <c r="C16" s="166"/>
      <c r="D16" s="166"/>
      <c r="E16" s="166"/>
      <c r="F16" s="166"/>
      <c r="G16" s="166"/>
    </row>
    <row r="17" spans="1:7" ht="43.5" customHeight="1">
      <c r="A17" s="163" t="s">
        <v>22</v>
      </c>
      <c r="B17" s="168" t="s">
        <v>232</v>
      </c>
      <c r="C17" s="166">
        <f>C15</f>
        <v>67.9690466383093</v>
      </c>
      <c r="D17" s="166">
        <f>D15</f>
        <v>70.9445441920032</v>
      </c>
      <c r="E17" s="166">
        <f>E15</f>
        <v>73.78053886690068</v>
      </c>
      <c r="F17" s="166">
        <f>F15</f>
        <v>76.62228946407993</v>
      </c>
      <c r="G17" s="166">
        <f>G15</f>
        <v>79.83133769546718</v>
      </c>
    </row>
    <row r="18" spans="1:7" ht="29.25" customHeight="1">
      <c r="A18" s="163" t="s">
        <v>24</v>
      </c>
      <c r="B18" s="168" t="s">
        <v>233</v>
      </c>
      <c r="C18" s="166"/>
      <c r="D18" s="166"/>
      <c r="E18" s="166"/>
      <c r="F18" s="166"/>
      <c r="G18" s="166"/>
    </row>
    <row r="19" spans="1:7" ht="29.25" customHeight="1">
      <c r="A19" s="159" t="s">
        <v>234</v>
      </c>
      <c r="B19" s="164" t="s">
        <v>235</v>
      </c>
      <c r="C19" s="162">
        <f>C20+C25+C26+C27+C28</f>
        <v>65.73097227</v>
      </c>
      <c r="D19" s="162">
        <f>D20+D25+D26+D27+D28</f>
        <v>66.10108254259555</v>
      </c>
      <c r="E19" s="162">
        <f>E20+E25+E26+E27+E28</f>
        <v>68.74711367497817</v>
      </c>
      <c r="F19" s="162">
        <f>F20+F25+F26+F27+F28</f>
        <v>71.49519070421795</v>
      </c>
      <c r="G19" s="162">
        <f>G20+G25+G26+G27+G28</f>
        <v>74.48180395559201</v>
      </c>
    </row>
    <row r="20" spans="1:7" ht="15.75" customHeight="1">
      <c r="A20" s="159" t="s">
        <v>20</v>
      </c>
      <c r="B20" s="164" t="s">
        <v>236</v>
      </c>
      <c r="C20" s="162">
        <f>C22+C23+C24</f>
        <v>8.20535</v>
      </c>
      <c r="D20" s="162">
        <f>D22+D23+D24</f>
        <v>7.388091199999998</v>
      </c>
      <c r="E20" s="162">
        <f>E22+E23+E24</f>
        <v>6.507544119649997</v>
      </c>
      <c r="F20" s="162">
        <f>F22+F23+F24</f>
        <v>5.560506090551297</v>
      </c>
      <c r="G20" s="162">
        <f>G22+G23+G24</f>
        <v>4.543640688704878</v>
      </c>
    </row>
    <row r="21" spans="1:7" ht="15.75" customHeight="1">
      <c r="A21" s="163"/>
      <c r="B21" s="168" t="s">
        <v>231</v>
      </c>
      <c r="C21" s="166"/>
      <c r="D21" s="166"/>
      <c r="E21" s="166"/>
      <c r="F21" s="166"/>
      <c r="G21" s="166"/>
    </row>
    <row r="22" spans="1:7" ht="15.75" customHeight="1">
      <c r="A22" s="163" t="s">
        <v>22</v>
      </c>
      <c r="B22" s="168" t="s">
        <v>471</v>
      </c>
      <c r="C22" s="166">
        <v>0.225</v>
      </c>
      <c r="D22" s="166">
        <f aca="true" t="shared" si="0" ref="D22:G23">C22*1.057</f>
        <v>0.23782499999999998</v>
      </c>
      <c r="E22" s="166">
        <f t="shared" si="0"/>
        <v>0.251381025</v>
      </c>
      <c r="F22" s="166">
        <f t="shared" si="0"/>
        <v>0.265709743425</v>
      </c>
      <c r="G22" s="166">
        <f t="shared" si="0"/>
        <v>0.28085519880022497</v>
      </c>
    </row>
    <row r="23" spans="1:7" ht="29.25" customHeight="1">
      <c r="A23" s="163" t="s">
        <v>24</v>
      </c>
      <c r="B23" s="168" t="s">
        <v>237</v>
      </c>
      <c r="C23" s="184">
        <v>0</v>
      </c>
      <c r="D23" s="184">
        <f t="shared" si="0"/>
        <v>0</v>
      </c>
      <c r="E23" s="184">
        <f t="shared" si="0"/>
        <v>0</v>
      </c>
      <c r="F23" s="184">
        <f t="shared" si="0"/>
        <v>0</v>
      </c>
      <c r="G23" s="184">
        <f t="shared" si="0"/>
        <v>0</v>
      </c>
    </row>
    <row r="24" spans="1:7" ht="15.75" customHeight="1">
      <c r="A24" s="163" t="s">
        <v>28</v>
      </c>
      <c r="B24" s="168" t="s">
        <v>238</v>
      </c>
      <c r="C24" s="184">
        <f>7.55*1.057</f>
        <v>7.98035</v>
      </c>
      <c r="D24" s="184">
        <f>C24*1.057-'расчет фин. показателей'!C23</f>
        <v>7.150266199999998</v>
      </c>
      <c r="E24" s="184">
        <f>C24*1.057*1.057-'расчет фин. показателей'!D23</f>
        <v>6.256163094649997</v>
      </c>
      <c r="F24" s="184">
        <f>C24*1.057*1.057*1.057-'расчет фин. показателей'!E23</f>
        <v>5.294796347126297</v>
      </c>
      <c r="G24" s="184">
        <f>C24*1.057*1.057*1.057*1.057-'расчет фин. показателей'!F23</f>
        <v>4.262785489904653</v>
      </c>
    </row>
    <row r="25" spans="1:9" ht="29.25" customHeight="1">
      <c r="A25" s="159" t="s">
        <v>62</v>
      </c>
      <c r="B25" s="164" t="s">
        <v>239</v>
      </c>
      <c r="C25" s="162">
        <f>0.89932*1.057</f>
        <v>0.95058124</v>
      </c>
      <c r="D25" s="162">
        <f>C25*1.054</f>
        <v>1.00191262696</v>
      </c>
      <c r="E25" s="162">
        <f>D25*1.15</f>
        <v>1.152199521004</v>
      </c>
      <c r="F25" s="162">
        <f>E25*1.15</f>
        <v>1.3250294491545997</v>
      </c>
      <c r="G25" s="162">
        <f>F25*1.15</f>
        <v>1.5237838665277896</v>
      </c>
      <c r="I25" s="67"/>
    </row>
    <row r="26" spans="1:8" ht="15.75" customHeight="1">
      <c r="A26" s="159" t="s">
        <v>240</v>
      </c>
      <c r="B26" s="164" t="s">
        <v>241</v>
      </c>
      <c r="C26" s="162">
        <v>4.306</v>
      </c>
      <c r="D26" s="162">
        <f>2.178+(C74/1.18*0.04)</f>
        <v>2.408071841677112</v>
      </c>
      <c r="E26" s="162">
        <f>2.14+(C74+D74)/1.18*0.04</f>
        <v>2.591549764364891</v>
      </c>
      <c r="F26" s="162">
        <f>2.054+(C74+D74+E74)/1.18*0.04</f>
        <v>2.7392754618987643</v>
      </c>
      <c r="G26" s="162">
        <f>2.053+(C74+D74+E74+F74)/1.18*0.04</f>
        <v>2.9803307123295486</v>
      </c>
      <c r="H26" s="50"/>
    </row>
    <row r="27" spans="1:7" ht="15.75" customHeight="1">
      <c r="A27" s="159" t="s">
        <v>242</v>
      </c>
      <c r="B27" s="164" t="s">
        <v>243</v>
      </c>
      <c r="C27" s="166">
        <v>1.66116</v>
      </c>
      <c r="D27" s="166">
        <f>C27+C74*0.022</f>
        <v>1.8104766252484459</v>
      </c>
      <c r="E27" s="166">
        <f>D27+D74*0.022</f>
        <v>1.954215797072814</v>
      </c>
      <c r="F27" s="166">
        <f>E27+E74*0.022</f>
        <v>2.105903774772298</v>
      </c>
      <c r="G27" s="166">
        <f>F27+F74*0.022</f>
        <v>2.262997632301877</v>
      </c>
    </row>
    <row r="28" spans="1:9" ht="15.75" customHeight="1">
      <c r="A28" s="159" t="s">
        <v>244</v>
      </c>
      <c r="B28" s="164" t="s">
        <v>245</v>
      </c>
      <c r="C28" s="162">
        <f>47.87879*1.057</f>
        <v>50.60788103</v>
      </c>
      <c r="D28" s="162">
        <f>C28*1.057</f>
        <v>53.49253024871</v>
      </c>
      <c r="E28" s="162">
        <f>D28*1.057</f>
        <v>56.54160447288646</v>
      </c>
      <c r="F28" s="162">
        <f>E28*1.057</f>
        <v>59.764475927840984</v>
      </c>
      <c r="G28" s="162">
        <f>F28*1.057</f>
        <v>63.171051055727915</v>
      </c>
      <c r="I28" s="50"/>
    </row>
    <row r="29" spans="1:9" ht="15.75" customHeight="1">
      <c r="A29" s="163"/>
      <c r="B29" s="168" t="s">
        <v>231</v>
      </c>
      <c r="C29" s="166"/>
      <c r="D29" s="166"/>
      <c r="E29" s="166"/>
      <c r="F29" s="166"/>
      <c r="G29" s="166"/>
      <c r="I29" s="50"/>
    </row>
    <row r="30" spans="1:7" ht="15.75" customHeight="1">
      <c r="A30" s="163" t="s">
        <v>246</v>
      </c>
      <c r="B30" s="168" t="s">
        <v>247</v>
      </c>
      <c r="C30" s="166">
        <f>17.47804*1.045</f>
        <v>18.2645518</v>
      </c>
      <c r="D30" s="166">
        <f>C30*1.054</f>
        <v>19.2508375972</v>
      </c>
      <c r="E30" s="166">
        <f>D30*1.054</f>
        <v>20.290382827448802</v>
      </c>
      <c r="F30" s="166">
        <f>E30*1.054</f>
        <v>21.386063500131037</v>
      </c>
      <c r="G30" s="166">
        <f>F30*1.054</f>
        <v>22.540910929138114</v>
      </c>
    </row>
    <row r="31" spans="1:7" ht="15.75" customHeight="1">
      <c r="A31" s="163" t="s">
        <v>248</v>
      </c>
      <c r="B31" s="168" t="s">
        <v>249</v>
      </c>
      <c r="C31" s="166">
        <v>0.98209</v>
      </c>
      <c r="D31" s="166">
        <v>0.0744</v>
      </c>
      <c r="E31" s="166">
        <v>0.0744</v>
      </c>
      <c r="F31" s="166">
        <v>0.0744</v>
      </c>
      <c r="G31" s="166">
        <v>0.0744</v>
      </c>
    </row>
    <row r="32" spans="1:7" ht="33.75" customHeight="1">
      <c r="A32" s="163" t="s">
        <v>250</v>
      </c>
      <c r="B32" s="168" t="s">
        <v>460</v>
      </c>
      <c r="C32" s="166">
        <f>26.58193*1.045</f>
        <v>27.778116849999996</v>
      </c>
      <c r="D32" s="166">
        <f>C32*1.045</f>
        <v>29.028132108249995</v>
      </c>
      <c r="E32" s="166">
        <f>D32*1.045</f>
        <v>30.334398053121244</v>
      </c>
      <c r="F32" s="166">
        <f>E32*1.045</f>
        <v>31.6994459655117</v>
      </c>
      <c r="G32" s="166">
        <f>F32*1.045</f>
        <v>33.12592103395973</v>
      </c>
    </row>
    <row r="33" spans="1:7" ht="15.75" customHeight="1">
      <c r="A33" s="159" t="s">
        <v>251</v>
      </c>
      <c r="B33" s="164" t="s">
        <v>252</v>
      </c>
      <c r="C33" s="162">
        <f>C42-C34</f>
        <v>2.2380743683093005</v>
      </c>
      <c r="D33" s="162">
        <f>D42-D34</f>
        <v>4.843461649407661</v>
      </c>
      <c r="E33" s="162">
        <f>E42-E34</f>
        <v>5.033425191922524</v>
      </c>
      <c r="F33" s="162">
        <f>F42-F34</f>
        <v>5.127098759861977</v>
      </c>
      <c r="G33" s="162">
        <f>G42-G34</f>
        <v>5.349533739875164</v>
      </c>
    </row>
    <row r="34" spans="1:7" ht="29.25" customHeight="1">
      <c r="A34" s="159" t="s">
        <v>253</v>
      </c>
      <c r="B34" s="164" t="s">
        <v>254</v>
      </c>
      <c r="C34" s="162">
        <v>0</v>
      </c>
      <c r="D34" s="162">
        <v>0</v>
      </c>
      <c r="E34" s="162">
        <v>0</v>
      </c>
      <c r="F34" s="162">
        <v>0</v>
      </c>
      <c r="G34" s="162">
        <v>0</v>
      </c>
    </row>
    <row r="35" spans="1:7" ht="15.75" customHeight="1">
      <c r="A35" s="163" t="s">
        <v>20</v>
      </c>
      <c r="B35" s="168" t="s">
        <v>255</v>
      </c>
      <c r="C35" s="166"/>
      <c r="D35" s="166"/>
      <c r="E35" s="166"/>
      <c r="F35" s="166"/>
      <c r="G35" s="166"/>
    </row>
    <row r="36" spans="1:7" ht="15.75" customHeight="1">
      <c r="A36" s="163"/>
      <c r="B36" s="168" t="s">
        <v>256</v>
      </c>
      <c r="C36" s="166"/>
      <c r="D36" s="166"/>
      <c r="E36" s="166"/>
      <c r="F36" s="166"/>
      <c r="G36" s="166"/>
    </row>
    <row r="37" spans="1:7" ht="29.25" customHeight="1">
      <c r="A37" s="163" t="s">
        <v>22</v>
      </c>
      <c r="B37" s="168" t="s">
        <v>257</v>
      </c>
      <c r="C37" s="166"/>
      <c r="D37" s="166"/>
      <c r="E37" s="166"/>
      <c r="F37" s="166"/>
      <c r="G37" s="166"/>
    </row>
    <row r="38" spans="1:7" ht="15.75" customHeight="1">
      <c r="A38" s="163" t="s">
        <v>24</v>
      </c>
      <c r="B38" s="168" t="s">
        <v>258</v>
      </c>
      <c r="C38" s="166"/>
      <c r="D38" s="166"/>
      <c r="E38" s="166"/>
      <c r="F38" s="166"/>
      <c r="G38" s="166"/>
    </row>
    <row r="39" spans="1:7" ht="15.75" customHeight="1">
      <c r="A39" s="163" t="s">
        <v>62</v>
      </c>
      <c r="B39" s="168" t="s">
        <v>259</v>
      </c>
      <c r="C39" s="166"/>
      <c r="D39" s="166"/>
      <c r="E39" s="166"/>
      <c r="F39" s="166"/>
      <c r="G39" s="166"/>
    </row>
    <row r="40" spans="1:7" ht="15.75" customHeight="1">
      <c r="A40" s="163"/>
      <c r="B40" s="168" t="s">
        <v>256</v>
      </c>
      <c r="C40" s="166"/>
      <c r="D40" s="166"/>
      <c r="E40" s="166"/>
      <c r="F40" s="166"/>
      <c r="G40" s="166"/>
    </row>
    <row r="41" spans="1:7" ht="15.75">
      <c r="A41" s="163" t="s">
        <v>64</v>
      </c>
      <c r="B41" s="168" t="s">
        <v>260</v>
      </c>
      <c r="C41" s="166"/>
      <c r="D41" s="166"/>
      <c r="E41" s="166"/>
      <c r="F41" s="166"/>
      <c r="G41" s="166"/>
    </row>
    <row r="42" spans="1:7" ht="31.5">
      <c r="A42" s="159" t="s">
        <v>261</v>
      </c>
      <c r="B42" s="164" t="s">
        <v>262</v>
      </c>
      <c r="C42" s="162">
        <f>C44/0.8</f>
        <v>2.2380743683093005</v>
      </c>
      <c r="D42" s="162">
        <f>D44/0.8</f>
        <v>4.843461649407661</v>
      </c>
      <c r="E42" s="162">
        <f>E44/0.8</f>
        <v>5.033425191922524</v>
      </c>
      <c r="F42" s="162">
        <f>F44/0.8</f>
        <v>5.127098759861977</v>
      </c>
      <c r="G42" s="162">
        <f>G44/0.8</f>
        <v>5.349533739875164</v>
      </c>
    </row>
    <row r="43" spans="1:7" ht="15.75" customHeight="1">
      <c r="A43" s="159" t="s">
        <v>263</v>
      </c>
      <c r="B43" s="164" t="s">
        <v>127</v>
      </c>
      <c r="C43" s="162">
        <f>C42-C44</f>
        <v>0.4476148736618599</v>
      </c>
      <c r="D43" s="162">
        <f>D42-D44</f>
        <v>0.9686923298815318</v>
      </c>
      <c r="E43" s="162">
        <f>E42-E44</f>
        <v>1.0066850383845045</v>
      </c>
      <c r="F43" s="162">
        <f>F42-F44</f>
        <v>1.0254197519723949</v>
      </c>
      <c r="G43" s="162">
        <f>G42-G44</f>
        <v>1.0699067479750326</v>
      </c>
    </row>
    <row r="44" spans="1:7" ht="15.75" customHeight="1">
      <c r="A44" s="159" t="s">
        <v>264</v>
      </c>
      <c r="B44" s="164" t="s">
        <v>156</v>
      </c>
      <c r="C44" s="162">
        <f>(C74-C69-C26)/0.95/0.85</f>
        <v>1.7904594946474406</v>
      </c>
      <c r="D44" s="162">
        <f>(D74-D69-D26)/0.95/0.85</f>
        <v>3.8747693195261297</v>
      </c>
      <c r="E44" s="162">
        <f>(E74-E69-E26)/0.95/0.85</f>
        <v>4.02674015353802</v>
      </c>
      <c r="F44" s="162">
        <f>(F74-F69-F26)/0.95/0.85</f>
        <v>4.101679007889582</v>
      </c>
      <c r="G44" s="162">
        <f>(G74-G69-G26)/0.95/0.85</f>
        <v>4.279626991900131</v>
      </c>
    </row>
    <row r="45" spans="1:7" ht="29.25" customHeight="1">
      <c r="A45" s="159" t="s">
        <v>265</v>
      </c>
      <c r="B45" s="164" t="s">
        <v>266</v>
      </c>
      <c r="C45" s="162">
        <f>C48+C49</f>
        <v>0.34466345271963233</v>
      </c>
      <c r="D45" s="162">
        <f>D48+D49</f>
        <v>0.7458930940087799</v>
      </c>
      <c r="E45" s="162">
        <f>E48+E49</f>
        <v>0.7751474795560689</v>
      </c>
      <c r="F45" s="162">
        <f>F48+F49</f>
        <v>0.7895732090187445</v>
      </c>
      <c r="G45" s="162">
        <f>G48+G49</f>
        <v>0.8238281959407753</v>
      </c>
    </row>
    <row r="46" spans="1:7" ht="15.75" customHeight="1">
      <c r="A46" s="163"/>
      <c r="B46" s="168" t="s">
        <v>231</v>
      </c>
      <c r="C46" s="166"/>
      <c r="D46" s="166"/>
      <c r="E46" s="166"/>
      <c r="F46" s="166"/>
      <c r="G46" s="166"/>
    </row>
    <row r="47" spans="1:7" ht="15.75" customHeight="1">
      <c r="A47" s="163" t="s">
        <v>20</v>
      </c>
      <c r="B47" s="168" t="s">
        <v>267</v>
      </c>
      <c r="C47" s="166"/>
      <c r="D47" s="166"/>
      <c r="E47" s="166"/>
      <c r="F47" s="166"/>
      <c r="G47" s="166"/>
    </row>
    <row r="48" spans="1:7" ht="15.75" customHeight="1">
      <c r="A48" s="163" t="s">
        <v>62</v>
      </c>
      <c r="B48" s="168" t="s">
        <v>268</v>
      </c>
      <c r="C48" s="166">
        <f>(C44-C49)*0.05</f>
        <v>0.07609452852251623</v>
      </c>
      <c r="D48" s="166">
        <f>(D44-D49)*0.05</f>
        <v>0.16467769607986052</v>
      </c>
      <c r="E48" s="166">
        <f>(E44-E49)*0.05</f>
        <v>0.17113645652536585</v>
      </c>
      <c r="F48" s="166">
        <f>(F44-F49)*0.05</f>
        <v>0.17432135783530725</v>
      </c>
      <c r="G48" s="166">
        <f>(G44-G49)*0.05</f>
        <v>0.1818841471557556</v>
      </c>
    </row>
    <row r="49" spans="1:7" ht="15.75" customHeight="1">
      <c r="A49" s="163" t="s">
        <v>240</v>
      </c>
      <c r="B49" s="168" t="s">
        <v>269</v>
      </c>
      <c r="C49" s="166">
        <f>C44*0.15</f>
        <v>0.2685689241971161</v>
      </c>
      <c r="D49" s="166">
        <f>D44*0.15</f>
        <v>0.5812153979289194</v>
      </c>
      <c r="E49" s="166">
        <f>E44*0.15</f>
        <v>0.604011023030703</v>
      </c>
      <c r="F49" s="166">
        <f>F44*0.15</f>
        <v>0.6152518511834373</v>
      </c>
      <c r="G49" s="166">
        <f>G44*0.15</f>
        <v>0.6419440487850196</v>
      </c>
    </row>
    <row r="50" spans="1:7" ht="15.75" customHeight="1">
      <c r="A50" s="163" t="s">
        <v>242</v>
      </c>
      <c r="B50" s="168" t="s">
        <v>270</v>
      </c>
      <c r="C50" s="166"/>
      <c r="D50" s="166"/>
      <c r="E50" s="166"/>
      <c r="F50" s="166"/>
      <c r="G50" s="166"/>
    </row>
    <row r="51" spans="1:7" ht="29.25" customHeight="1">
      <c r="A51" s="159" t="s">
        <v>271</v>
      </c>
      <c r="B51" s="164" t="s">
        <v>272</v>
      </c>
      <c r="C51" s="162"/>
      <c r="D51" s="162"/>
      <c r="E51" s="162"/>
      <c r="F51" s="162"/>
      <c r="G51" s="162"/>
    </row>
    <row r="52" spans="1:7" ht="29.25" customHeight="1">
      <c r="A52" s="163" t="s">
        <v>20</v>
      </c>
      <c r="B52" s="168" t="s">
        <v>273</v>
      </c>
      <c r="C52" s="166"/>
      <c r="D52" s="166"/>
      <c r="E52" s="166"/>
      <c r="F52" s="166"/>
      <c r="G52" s="166"/>
    </row>
    <row r="53" spans="1:7" ht="29.25" customHeight="1">
      <c r="A53" s="163" t="s">
        <v>62</v>
      </c>
      <c r="B53" s="168" t="s">
        <v>274</v>
      </c>
      <c r="C53" s="166"/>
      <c r="D53" s="166"/>
      <c r="E53" s="166"/>
      <c r="F53" s="166"/>
      <c r="G53" s="166"/>
    </row>
    <row r="54" spans="1:7" ht="15.75" customHeight="1">
      <c r="A54" s="163"/>
      <c r="B54" s="168" t="s">
        <v>275</v>
      </c>
      <c r="C54" s="166"/>
      <c r="D54" s="166"/>
      <c r="E54" s="166"/>
      <c r="F54" s="166"/>
      <c r="G54" s="166"/>
    </row>
    <row r="55" spans="1:7" ht="29.25" customHeight="1">
      <c r="A55" s="159" t="s">
        <v>276</v>
      </c>
      <c r="B55" s="164" t="s">
        <v>277</v>
      </c>
      <c r="C55" s="162"/>
      <c r="D55" s="162"/>
      <c r="E55" s="162"/>
      <c r="F55" s="162"/>
      <c r="G55" s="162"/>
    </row>
    <row r="56" spans="1:7" ht="29.25" customHeight="1">
      <c r="A56" s="163" t="s">
        <v>20</v>
      </c>
      <c r="B56" s="168" t="s">
        <v>278</v>
      </c>
      <c r="C56" s="166"/>
      <c r="D56" s="166"/>
      <c r="E56" s="166"/>
      <c r="F56" s="166"/>
      <c r="G56" s="166"/>
    </row>
    <row r="57" spans="1:7" ht="29.25" customHeight="1">
      <c r="A57" s="163" t="s">
        <v>62</v>
      </c>
      <c r="B57" s="168" t="s">
        <v>279</v>
      </c>
      <c r="C57" s="166"/>
      <c r="D57" s="166"/>
      <c r="E57" s="166"/>
      <c r="F57" s="166"/>
      <c r="G57" s="166"/>
    </row>
    <row r="58" spans="1:7" ht="15.75" customHeight="1">
      <c r="A58" s="163"/>
      <c r="B58" s="168" t="s">
        <v>275</v>
      </c>
      <c r="C58" s="166"/>
      <c r="D58" s="166"/>
      <c r="E58" s="166"/>
      <c r="F58" s="166"/>
      <c r="G58" s="166"/>
    </row>
    <row r="59" spans="1:7" ht="15.75" customHeight="1">
      <c r="A59" s="159" t="s">
        <v>280</v>
      </c>
      <c r="B59" s="164" t="s">
        <v>281</v>
      </c>
      <c r="C59" s="162"/>
      <c r="D59" s="162"/>
      <c r="E59" s="162"/>
      <c r="F59" s="162"/>
      <c r="G59" s="162"/>
    </row>
    <row r="60" spans="1:7" ht="15.75" customHeight="1">
      <c r="A60" s="163"/>
      <c r="B60" s="168" t="s">
        <v>282</v>
      </c>
      <c r="C60" s="166"/>
      <c r="D60" s="166"/>
      <c r="E60" s="166"/>
      <c r="F60" s="166"/>
      <c r="G60" s="166"/>
    </row>
    <row r="61" spans="1:7" ht="29.25" customHeight="1">
      <c r="A61" s="163" t="s">
        <v>20</v>
      </c>
      <c r="B61" s="168" t="s">
        <v>283</v>
      </c>
      <c r="C61" s="166"/>
      <c r="D61" s="166"/>
      <c r="E61" s="166"/>
      <c r="F61" s="166"/>
      <c r="G61" s="166"/>
    </row>
    <row r="62" spans="1:7" ht="15.75" customHeight="1">
      <c r="A62" s="163" t="s">
        <v>22</v>
      </c>
      <c r="B62" s="168" t="s">
        <v>284</v>
      </c>
      <c r="C62" s="166"/>
      <c r="D62" s="166"/>
      <c r="E62" s="166"/>
      <c r="F62" s="166"/>
      <c r="G62" s="166"/>
    </row>
    <row r="63" spans="1:7" ht="15.75" customHeight="1">
      <c r="A63" s="163" t="s">
        <v>62</v>
      </c>
      <c r="B63" s="168" t="s">
        <v>285</v>
      </c>
      <c r="C63" s="166"/>
      <c r="D63" s="166"/>
      <c r="E63" s="166"/>
      <c r="F63" s="166"/>
      <c r="G63" s="166"/>
    </row>
    <row r="64" spans="1:7" ht="15.75" customHeight="1">
      <c r="A64" s="159" t="s">
        <v>286</v>
      </c>
      <c r="B64" s="164" t="s">
        <v>287</v>
      </c>
      <c r="C64" s="162"/>
      <c r="D64" s="162"/>
      <c r="E64" s="162"/>
      <c r="F64" s="162"/>
      <c r="G64" s="162"/>
    </row>
    <row r="65" spans="1:7" ht="15.75" customHeight="1">
      <c r="A65" s="163"/>
      <c r="B65" s="168" t="s">
        <v>288</v>
      </c>
      <c r="C65" s="166"/>
      <c r="D65" s="166"/>
      <c r="E65" s="166"/>
      <c r="F65" s="166"/>
      <c r="G65" s="166"/>
    </row>
    <row r="66" spans="1:7" ht="15.75" customHeight="1">
      <c r="A66" s="163" t="s">
        <v>20</v>
      </c>
      <c r="B66" s="168" t="s">
        <v>289</v>
      </c>
      <c r="C66" s="166"/>
      <c r="D66" s="166"/>
      <c r="E66" s="166"/>
      <c r="F66" s="166"/>
      <c r="G66" s="166"/>
    </row>
    <row r="67" spans="1:7" ht="15.75" customHeight="1">
      <c r="A67" s="163" t="s">
        <v>22</v>
      </c>
      <c r="B67" s="168" t="s">
        <v>284</v>
      </c>
      <c r="C67" s="166"/>
      <c r="D67" s="166"/>
      <c r="E67" s="166"/>
      <c r="F67" s="166"/>
      <c r="G67" s="166"/>
    </row>
    <row r="68" spans="1:7" ht="15.75" customHeight="1">
      <c r="A68" s="163" t="s">
        <v>62</v>
      </c>
      <c r="B68" s="168" t="s">
        <v>285</v>
      </c>
      <c r="C68" s="166"/>
      <c r="D68" s="166"/>
      <c r="E68" s="166"/>
      <c r="F68" s="166"/>
      <c r="G68" s="166"/>
    </row>
    <row r="69" spans="1:7" ht="15.75" customHeight="1">
      <c r="A69" s="159" t="s">
        <v>290</v>
      </c>
      <c r="B69" s="164" t="s">
        <v>291</v>
      </c>
      <c r="C69" s="162">
        <f>C74-C74/1.18</f>
        <v>1.0353232875470049</v>
      </c>
      <c r="D69" s="162">
        <f>D74-D74/1.18</f>
        <v>0.9966506520950027</v>
      </c>
      <c r="E69" s="162">
        <f>E74-E74/1.18</f>
        <v>1.051765638902431</v>
      </c>
      <c r="F69" s="162">
        <f>F74-F74/1.18</f>
        <v>1.0892486269385282</v>
      </c>
      <c r="G69" s="162">
        <f>G74-G74/1.18</f>
        <v>1.1585033114920025</v>
      </c>
    </row>
    <row r="70" spans="1:7" ht="15.75" customHeight="1">
      <c r="A70" s="159" t="s">
        <v>292</v>
      </c>
      <c r="B70" s="164" t="s">
        <v>293</v>
      </c>
      <c r="C70" s="162"/>
      <c r="D70" s="162"/>
      <c r="E70" s="162"/>
      <c r="F70" s="162"/>
      <c r="G70" s="162"/>
    </row>
    <row r="71" spans="1:7" ht="29.25" customHeight="1">
      <c r="A71" s="163" t="s">
        <v>20</v>
      </c>
      <c r="B71" s="168" t="s">
        <v>294</v>
      </c>
      <c r="C71" s="166"/>
      <c r="D71" s="166"/>
      <c r="E71" s="166"/>
      <c r="F71" s="166"/>
      <c r="G71" s="166"/>
    </row>
    <row r="72" spans="1:7" ht="29.25" customHeight="1">
      <c r="A72" s="163" t="s">
        <v>62</v>
      </c>
      <c r="B72" s="168" t="s">
        <v>295</v>
      </c>
      <c r="C72" s="166"/>
      <c r="D72" s="166"/>
      <c r="E72" s="166"/>
      <c r="F72" s="166"/>
      <c r="G72" s="166"/>
    </row>
    <row r="73" spans="1:7" ht="29.25" customHeight="1">
      <c r="A73" s="159" t="s">
        <v>296</v>
      </c>
      <c r="B73" s="164" t="s">
        <v>297</v>
      </c>
      <c r="C73" s="162"/>
      <c r="D73" s="162"/>
      <c r="E73" s="162"/>
      <c r="F73" s="162"/>
      <c r="G73" s="162"/>
    </row>
    <row r="74" spans="1:7" ht="15.75" customHeight="1">
      <c r="A74" s="159" t="s">
        <v>298</v>
      </c>
      <c r="B74" s="164" t="s">
        <v>299</v>
      </c>
      <c r="C74" s="162">
        <f>'сметная стоимость работ'!N24</f>
        <v>6.787119329474813</v>
      </c>
      <c r="D74" s="162">
        <f>'сметная стоимость работ'!O24</f>
        <v>6.533598719289465</v>
      </c>
      <c r="E74" s="162">
        <f>'сметная стоимость работ'!P24</f>
        <v>6.894908077249273</v>
      </c>
      <c r="F74" s="162">
        <f>'сметная стоимость работ'!Q24</f>
        <v>7.14062988770813</v>
      </c>
      <c r="G74" s="162">
        <f>'сметная стоимость работ'!R24</f>
        <v>7.594632819780907</v>
      </c>
    </row>
    <row r="75" spans="1:7" ht="15.75" customHeight="1">
      <c r="A75" s="163"/>
      <c r="B75" s="168" t="s">
        <v>284</v>
      </c>
      <c r="C75" s="166"/>
      <c r="D75" s="166"/>
      <c r="E75" s="166"/>
      <c r="F75" s="166"/>
      <c r="G75" s="166"/>
    </row>
    <row r="76" spans="1:7" ht="57.75" customHeight="1">
      <c r="A76" s="159" t="s">
        <v>298</v>
      </c>
      <c r="B76" s="164" t="s">
        <v>300</v>
      </c>
      <c r="C76" s="162">
        <f>C15+C35+C53+C56+C59+C69+C75+C73</f>
        <v>69.0043699258563</v>
      </c>
      <c r="D76" s="162">
        <f>D15+D35+D53+D56+D59+D69+D75+D73</f>
        <v>71.9411948440982</v>
      </c>
      <c r="E76" s="162">
        <f>E15+E35+E53+E56+E59+E69+E75+E73</f>
        <v>74.83230450580311</v>
      </c>
      <c r="F76" s="162">
        <f>F15+F35+F53+F56+F59+F69+F75+F73</f>
        <v>77.71153809101845</v>
      </c>
      <c r="G76" s="162">
        <f>G15+G35+G53+G56+G59+G69+G75+G73</f>
        <v>80.98984100695918</v>
      </c>
    </row>
    <row r="77" spans="1:7" ht="57.75" customHeight="1">
      <c r="A77" s="159" t="s">
        <v>301</v>
      </c>
      <c r="B77" s="164" t="s">
        <v>302</v>
      </c>
      <c r="C77" s="162">
        <f>C19-C26+C39+C52+C57+C43+C64+C71+C74</f>
        <v>68.65970647313668</v>
      </c>
      <c r="D77" s="162">
        <f>D19-D26+D39+D52+D57+D43+D64+D71+D74</f>
        <v>71.19530175008944</v>
      </c>
      <c r="E77" s="162">
        <f>E19-E26+E39+E52+E57+E43+E64+E71+E74</f>
        <v>74.05715702624705</v>
      </c>
      <c r="F77" s="162">
        <f>F19-F26+F39+F52+F57+F43+F64+F71+F74</f>
        <v>76.9219648819997</v>
      </c>
      <c r="G77" s="162">
        <f>G19-G26+G39+G52+G57+G43+G64+G71+G74</f>
        <v>80.16601281101842</v>
      </c>
    </row>
    <row r="78" spans="1:7" ht="29.25" customHeight="1">
      <c r="A78" s="159"/>
      <c r="B78" s="164" t="s">
        <v>303</v>
      </c>
      <c r="C78" s="162">
        <f>C76-C77</f>
        <v>0.3446634527196153</v>
      </c>
      <c r="D78" s="162">
        <f>D76-D77</f>
        <v>0.745893094008764</v>
      </c>
      <c r="E78" s="162">
        <f>E76-E77</f>
        <v>0.775147479556054</v>
      </c>
      <c r="F78" s="162">
        <f>F76-F77</f>
        <v>0.789573209018755</v>
      </c>
      <c r="G78" s="162">
        <f>G76-G77</f>
        <v>0.823828195940763</v>
      </c>
    </row>
    <row r="79" spans="1:7" ht="13.5" customHeight="1">
      <c r="A79" s="227"/>
      <c r="B79" s="228"/>
      <c r="C79" s="227"/>
      <c r="D79" s="227"/>
      <c r="E79" s="227"/>
      <c r="F79" s="227"/>
      <c r="G79" s="227"/>
    </row>
    <row r="80" spans="1:7" ht="13.5" customHeight="1">
      <c r="A80" s="159"/>
      <c r="B80" s="164" t="s">
        <v>39</v>
      </c>
      <c r="C80" s="160"/>
      <c r="D80" s="160"/>
      <c r="E80" s="160"/>
      <c r="F80" s="160"/>
      <c r="G80" s="160"/>
    </row>
    <row r="81" spans="1:7" ht="13.5" customHeight="1">
      <c r="A81" s="163" t="s">
        <v>20</v>
      </c>
      <c r="B81" s="168" t="s">
        <v>151</v>
      </c>
      <c r="C81" s="166">
        <f>C42+C26</f>
        <v>6.544074368309301</v>
      </c>
      <c r="D81" s="166">
        <f>D42+D26</f>
        <v>7.251533491084773</v>
      </c>
      <c r="E81" s="166">
        <f>E42+E26</f>
        <v>7.624974956287415</v>
      </c>
      <c r="F81" s="166">
        <f>F42+F26</f>
        <v>7.866374221760742</v>
      </c>
      <c r="G81" s="166">
        <f>G42+G26</f>
        <v>8.329864452204713</v>
      </c>
    </row>
    <row r="82" spans="1:7" ht="13.5" customHeight="1">
      <c r="A82" s="163" t="s">
        <v>62</v>
      </c>
      <c r="B82" s="168" t="s">
        <v>304</v>
      </c>
      <c r="C82" s="166">
        <v>0</v>
      </c>
      <c r="D82" s="166">
        <v>0</v>
      </c>
      <c r="E82" s="166">
        <v>0</v>
      </c>
      <c r="F82" s="166">
        <v>0</v>
      </c>
      <c r="G82" s="166">
        <v>0</v>
      </c>
    </row>
    <row r="83" spans="1:7" ht="13.5" customHeight="1">
      <c r="A83" s="163" t="s">
        <v>240</v>
      </c>
      <c r="B83" s="168" t="s">
        <v>305</v>
      </c>
      <c r="C83" s="166">
        <f>C15/73.75383</f>
        <v>0.9215663327356599</v>
      </c>
      <c r="D83" s="166">
        <f>D15/73.75383</f>
        <v>0.9619099671434448</v>
      </c>
      <c r="E83" s="166">
        <f>E15/73.75383</f>
        <v>1.000362135320982</v>
      </c>
      <c r="F83" s="166">
        <f>F15/73.75383</f>
        <v>1.0388923458494281</v>
      </c>
      <c r="G83" s="166">
        <f>G15/73.75383</f>
        <v>1.08240260465751</v>
      </c>
    </row>
    <row r="84" spans="1:7" ht="13.5" customHeight="1">
      <c r="A84" s="46"/>
      <c r="B84" s="283"/>
      <c r="C84" s="284"/>
      <c r="D84" s="280"/>
      <c r="E84" s="284"/>
      <c r="F84" s="284"/>
      <c r="G84" s="284"/>
    </row>
    <row r="85" spans="1:7" s="72" customFormat="1" ht="18.75" customHeight="1">
      <c r="A85" s="278"/>
      <c r="B85" s="34" t="s">
        <v>461</v>
      </c>
      <c r="D85" s="278"/>
      <c r="E85" s="278"/>
      <c r="F85" s="278"/>
      <c r="G85" s="278"/>
    </row>
    <row r="86" spans="1:7" s="72" customFormat="1" ht="18.75" customHeight="1">
      <c r="A86" s="278"/>
      <c r="B86" s="34" t="s">
        <v>463</v>
      </c>
      <c r="D86" s="278"/>
      <c r="E86" s="278"/>
      <c r="F86" s="281"/>
      <c r="G86" s="278"/>
    </row>
    <row r="87" spans="1:7" s="72" customFormat="1" ht="18.75" customHeight="1">
      <c r="A87" s="278"/>
      <c r="B87" s="34" t="s">
        <v>462</v>
      </c>
      <c r="C87" s="282">
        <v>64.066</v>
      </c>
      <c r="D87" s="278"/>
      <c r="E87" s="278"/>
      <c r="F87" s="281"/>
      <c r="G87" s="278"/>
    </row>
    <row r="88" spans="1:7" s="72" customFormat="1" ht="18.75" customHeight="1">
      <c r="A88" s="278"/>
      <c r="B88" s="34" t="s">
        <v>39</v>
      </c>
      <c r="C88" s="282"/>
      <c r="D88" s="278"/>
      <c r="E88" s="278"/>
      <c r="F88" s="281"/>
      <c r="G88" s="278"/>
    </row>
    <row r="89" spans="1:7" s="72" customFormat="1" ht="18.75" customHeight="1">
      <c r="A89" s="278"/>
      <c r="B89" s="307" t="s">
        <v>464</v>
      </c>
      <c r="C89" s="160">
        <v>2018</v>
      </c>
      <c r="D89" s="160">
        <v>2019</v>
      </c>
      <c r="E89" s="160">
        <v>2020</v>
      </c>
      <c r="F89" s="160">
        <v>2021</v>
      </c>
      <c r="G89" s="160">
        <v>2022</v>
      </c>
    </row>
    <row r="90" spans="2:8" ht="15.75">
      <c r="B90" s="307"/>
      <c r="C90" s="289">
        <f>(C74+C43)/(C76-C74-C43)</f>
        <v>0.11712444340149557</v>
      </c>
      <c r="D90" s="289">
        <f>(D74+D43)/(D76-D74-D43)</f>
        <v>0.11642487080547753</v>
      </c>
      <c r="E90" s="289">
        <f>(E74+E43)/(E76-E74-E43)</f>
        <v>0.11805631453058707</v>
      </c>
      <c r="F90" s="289">
        <f>(F74+F43)/(F76-F74-F43)</f>
        <v>0.1174202643697648</v>
      </c>
      <c r="G90" s="289">
        <f>(G74+G43)/(G76-G74-G43)</f>
        <v>0.11979956385027121</v>
      </c>
      <c r="H90" s="285"/>
    </row>
    <row r="91" spans="3:9" ht="37.5" customHeight="1">
      <c r="C91" s="279">
        <v>0.12</v>
      </c>
      <c r="D91" s="279">
        <v>0.12</v>
      </c>
      <c r="E91" s="279">
        <v>0.12</v>
      </c>
      <c r="F91" s="279">
        <v>0.12</v>
      </c>
      <c r="G91" s="279">
        <v>0.12</v>
      </c>
      <c r="H91" s="285">
        <f>SUM(C91:G91)</f>
        <v>0.6</v>
      </c>
      <c r="I91" s="285"/>
    </row>
  </sheetData>
  <sheetProtection selectLockedCells="1" selectUnlockedCells="1"/>
  <mergeCells count="5">
    <mergeCell ref="F1:G1"/>
    <mergeCell ref="A10:G10"/>
    <mergeCell ref="A12:A13"/>
    <mergeCell ref="B12:B13"/>
    <mergeCell ref="B89:B90"/>
  </mergeCells>
  <printOptions/>
  <pageMargins left="1.1811023622047245" right="0.31496062992125984" top="0.7874015748031497" bottom="0.7874015748031497" header="0.5118110236220472" footer="0.5118110236220472"/>
  <pageSetup fitToHeight="2" fitToWidth="1" horizontalDpi="300" verticalDpi="300" orientation="portrait" paperSize="9" scale="72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*</cp:lastModifiedBy>
  <cp:lastPrinted>2017-02-21T04:33:40Z</cp:lastPrinted>
  <dcterms:created xsi:type="dcterms:W3CDTF">2017-02-20T07:00:49Z</dcterms:created>
  <dcterms:modified xsi:type="dcterms:W3CDTF">2017-02-21T04:34:12Z</dcterms:modified>
  <cp:category/>
  <cp:version/>
  <cp:contentType/>
  <cp:contentStatus/>
</cp:coreProperties>
</file>